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11.xml" ContentType="application/vnd.openxmlformats-officedocument.drawingml.chartshapes+xml"/>
  <Override PartName="/xl/drawings/drawing7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4.xml" ContentType="application/vnd.openxmlformats-officedocument.drawingml.chartshap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charts/colors5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/>
  <xr:revisionPtr revIDLastSave="0" documentId="13_ncr:1_{6654D80F-3904-46C4-8E7C-E063DE8AE30A}" xr6:coauthVersionLast="47" xr6:coauthVersionMax="47" xr10:uidLastSave="{00000000-0000-0000-0000-000000000000}"/>
  <bookViews>
    <workbookView xWindow="32025" yWindow="1335" windowWidth="24840" windowHeight="13185" tabRatio="730" xr2:uid="{00000000-000D-0000-FFFF-FFFF00000000}"/>
  </bookViews>
  <sheets>
    <sheet name="07b_ev_load_kwh" sheetId="2" r:id="rId1"/>
    <sheet name="07c_ev_load_demand_kw" sheetId="3" r:id="rId2"/>
    <sheet name="07d_estimate_total_ev_load_kwh" sheetId="4" r:id="rId3"/>
    <sheet name="07e_ev_count" sheetId="5" r:id="rId4"/>
    <sheet name="07f_rideshare_fueling_hubs" sheetId="6" r:id="rId5"/>
  </sheets>
  <definedNames>
    <definedName name="b_eBus_Annual_Daytime" localSheetId="0">OFFSET('07b_ev_load_kwh'!$F$93:$O$93,0,COUNTA('07b_ev_load_kwh'!$F$90:$ZZ$90)-10,1,10)</definedName>
    <definedName name="b_eBus_Annual_Off_peak" localSheetId="0">OFFSET('07b_ev_load_kwh'!$F$92:$O$92,0,COUNTA('07b_ev_load_kwh'!$F$90:$ZZ$90)-10,1,10)</definedName>
    <definedName name="b_eBus_Annual_Peak" localSheetId="0">OFFSET('07b_ev_load_kwh'!$F$91:$O$91,0,COUNTA('07b_ev_load_kwh'!$F$90:$ZZ$90)-10,1,10)</definedName>
    <definedName name="b_eBus_Load_Year" localSheetId="0">OFFSET('07b_ev_load_kwh'!$F$90:$O$90,0,COUNTA('07b_ev_load_kwh'!$F$90:$ZZ$90)-10,1,10)</definedName>
    <definedName name="b_EV_F_Annual_Daytime" localSheetId="0">OFFSET('07b_ev_load_kwh'!$F$77:$O$77,0,MAX(0,COUNTA('07b_ev_load_kwh'!$F$74:$ZZ$74)-10),1,MIN(10,COUNTA('07b_ev_load_kwh'!$F$74:$O$74)))</definedName>
    <definedName name="b_EV_F_Annual_Off_peak" localSheetId="0">OFFSET('07b_ev_load_kwh'!$F$76:$O$76,0,MAX(0,COUNTA('07b_ev_load_kwh'!$F$74:$ZZ$74)-10),1,MIN(10,COUNTA('07b_ev_load_kwh'!$F$74:$O$74)))</definedName>
    <definedName name="b_EV_F_Annual_Peak" localSheetId="0">OFFSET('07b_ev_load_kwh'!$F$75:$O$75,0,MAX(0,COUNTA('07b_ev_load_kwh'!$F$74:$ZZ$74)-10),1,MIN(10,COUNTA('07b_ev_load_kwh'!$F$74:$O$74)))</definedName>
    <definedName name="b_EV_F_Load_Year" localSheetId="0">OFFSET('07b_ev_load_kwh'!$F$74:$O$74,0,MAX(0,COUNTA('07b_ev_load_kwh'!$F$74:$ZZ$74)-10),1,MIN(10,COUNTA('07b_ev_load_kwh'!$F$74:$O$74)))</definedName>
    <definedName name="b_EV_MAUI_Annual_Daytime" localSheetId="0">OFFSET('07b_ev_load_kwh'!$F$85:$O$85,0,COUNTA('07b_ev_load_kwh'!$F$82:$ZZ$82)-10,1,10)</definedName>
    <definedName name="b_EV_MAUI_Annual_Off_peak" localSheetId="0">OFFSET('07b_ev_load_kwh'!$F$84:$O$84,0,COUNTA('07b_ev_load_kwh'!$F$82:$ZZ$82)-10,1,10)</definedName>
    <definedName name="b_EV_MAUI_Annual_Peak" localSheetId="0">OFFSET('07b_ev_load_kwh'!$F$83:$O$83,0,COUNTA('07b_ev_load_kwh'!$F$82:$ZZ$82)-10,1,10)</definedName>
    <definedName name="b_EV_MAUI_Load_Year" localSheetId="0">OFFSET('07b_ev_load_kwh'!$F$82:$O$82,0,COUNTA('07b_ev_load_kwh'!$F$82:$ZZ$82)-10,1,10)</definedName>
    <definedName name="b_EV_U_Annual_Daytime" localSheetId="0">OFFSET('07b_ev_load_kwh'!$F$69:$O$69,0,COUNTA('07b_ev_load_kwh'!$F$66:$ZZ$66)-10,1,10)</definedName>
    <definedName name="b_EV_U_Annual_Off_peak" localSheetId="0">OFFSET('07b_ev_load_kwh'!$F$68:$O$68,0,COUNTA('07b_ev_load_kwh'!$F$66:$ZZ$66)-10,1,10)</definedName>
    <definedName name="b_EV_U_Annual_Peak" localSheetId="0">OFFSET('07b_ev_load_kwh'!$F$67:$O$67,0,COUNTA('07b_ev_load_kwh'!$F$66:$ZZ$66)-10,1,10)</definedName>
    <definedName name="b_EV_U_Load_Year" localSheetId="0">OFFSET('07b_ev_load_kwh'!$F$66:$O$66,0,COUNTA('07b_ev_load_kwh'!$F$66:$ZZ$66)-10,1,10)</definedName>
    <definedName name="b_Target_1_Declining" localSheetId="0">OFFSET('07b_ev_load_kwh'!$F$106:$O$106,0,COUNTA('07b_ev_load_kwh'!$F$104:$ZZ$104)-10,1,10)</definedName>
    <definedName name="b_Target_1_eBus" localSheetId="0">OFFSET('07b_ev_load_kwh'!$F$102:$O$102,0,COUNTA('07b_ev_load_kwh'!$F$98:$ZZ$98)-10,1,10)</definedName>
    <definedName name="b_Target_1_EV_F" localSheetId="0">OFFSET('07b_ev_load_kwh'!$F$100:$O$100,0,COUNTA('07b_ev_load_kwh'!$F$98:$ZZ$98)-10,1,10)</definedName>
    <definedName name="b_Target_1_EV_MAUI" localSheetId="0">OFFSET('07b_ev_load_kwh'!$F$103:$O$103,0,COUNTA('07b_ev_load_kwh'!$F$98:$ZZ$98)-10,1,10)</definedName>
    <definedName name="b_Target_1_EV_U" localSheetId="0">OFFSET('07b_ev_load_kwh'!$F$101:$O$101,0,COUNTA('07b_ev_load_kwh'!$F$98:$ZZ$98)-10,1,10)</definedName>
    <definedName name="b_Target_1_Improving" localSheetId="0">OFFSET('07b_ev_load_kwh'!$F$105:$O$105,0,COUNTA('07b_ev_load_kwh'!$F$104:$ZZ$104)-10,1,10)</definedName>
    <definedName name="b_Target_1_MAX" localSheetId="0">OFFSET('07b_ev_load_kwh'!$F$104:$O$104,0,COUNTA('07b_ev_load_kwh'!$F$104:$ZZ$104)-10,1,10)</definedName>
    <definedName name="b_Target_1_Total" localSheetId="0">OFFSET('07b_ev_load_kwh'!$F$99:$O$99,0,COUNTA('07b_ev_load_kwh'!$F$98:$ZZ$98)-10,1,10)</definedName>
    <definedName name="b_Target_1_Year" localSheetId="0">OFFSET('07b_ev_load_kwh'!$F$98:$O$98,0,COUNTA('07b_ev_load_kwh'!$F$98:$ZZ$98)-10,1,10)</definedName>
    <definedName name="b_Target_2_Declining" localSheetId="0">OFFSET('07b_ev_load_kwh'!$F$117:$O$117,0,COUNTA('07b_ev_load_kwh'!$F$115:$ZZ$115)-10,1,10)</definedName>
    <definedName name="b_Target_2_eBus" localSheetId="0">OFFSET('07b_ev_load_kwh'!$F$113:$O$113,0,COUNTA('07b_ev_load_kwh'!$F$109:$ZZ$109)-10,1,10)</definedName>
    <definedName name="b_Target_2_EV_F" localSheetId="0">OFFSET('07b_ev_load_kwh'!$F$111:$O$111,0,COUNTA('07b_ev_load_kwh'!$F$109:$ZZ$109)-10,1,10)</definedName>
    <definedName name="b_Target_2_EV_MAUI" localSheetId="0">OFFSET('07b_ev_load_kwh'!$F$114:$O$114,0,COUNTA('07b_ev_load_kwh'!$F$109:$ZZ$109)-10,1,10)</definedName>
    <definedName name="b_Target_2_EV_U" localSheetId="0">OFFSET('07b_ev_load_kwh'!$F$112:$O$112,0,COUNTA('07b_ev_load_kwh'!$F$109:$ZZ$109)-10,1,10)</definedName>
    <definedName name="b_Target_2_Improving" localSheetId="0">OFFSET('07b_ev_load_kwh'!$F$116:$O$116,0,COUNTA('07b_ev_load_kwh'!$F$115:$ZZ$115)-10,1,10)</definedName>
    <definedName name="b_Target_2_MAX" localSheetId="0">OFFSET('07b_ev_load_kwh'!$F$115:$O$115,0,COUNTA('07b_ev_load_kwh'!$F$115:$ZZ$115)-10,1,10)</definedName>
    <definedName name="b_Target_2_Table_eBus" localSheetId="0">OFFSET('07b_ev_load_kwh'!$F$113:$P$113,0,COUNTA('07b_ev_load_kwh'!$F$109:$ZZ$109)-11,1,11)</definedName>
    <definedName name="b_Target_2_Table_EV_F" localSheetId="0">OFFSET('07b_ev_load_kwh'!$F$111:$P$111,0,COUNTA('07b_ev_load_kwh'!$F$109:$ZZ$109)-11,1,11)</definedName>
    <definedName name="b_Target_2_Table_EV_MAUI" localSheetId="0">OFFSET('07b_ev_load_kwh'!$F$114:$P$114,0,COUNTA('07b_ev_load_kwh'!$F$109:$ZZ$109)-11,1,11)</definedName>
    <definedName name="b_Target_2_Table_EV_U" localSheetId="0">OFFSET('07b_ev_load_kwh'!$F$112:$P$112,0,COUNTA('07b_ev_load_kwh'!$F$109:$ZZ$109)-11,1,11)</definedName>
    <definedName name="b_Target_2_Table_Total" localSheetId="0">OFFSET('07b_ev_load_kwh'!$F$110:$P$110,0,COUNTA('07b_ev_load_kwh'!$F$109:$ZZ$109)-11,1,11)</definedName>
    <definedName name="b_Target_2_Table_Year" localSheetId="0">OFFSET('07b_ev_load_kwh'!$F$109:$P$109,0,COUNTA('07b_ev_load_kwh'!$F$109:$ZZ$109)-11,1,11)</definedName>
    <definedName name="b_Target_2_Total" localSheetId="0">OFFSET('07b_ev_load_kwh'!$F$110:$O$110,0,COUNTA('07b_ev_load_kwh'!$F$109:$ZZ$109)-10,1,10)</definedName>
    <definedName name="b_Target_2_Year" localSheetId="0">OFFSET('07b_ev_load_kwh'!$F$109:$O$109,0,COUNTA('07b_ev_load_kwh'!$F$109:$ZZ$109)-10,1,10)</definedName>
    <definedName name="b_Total_Annual_Daytime" localSheetId="0">OFFSET('07b_ev_load_kwh'!$F$61:$O$61,0,COUNTA('07b_ev_load_kwh'!$F$58:$ZZ$58)-10,1,10)</definedName>
    <definedName name="b_Total_Annual_Off_peak" localSheetId="0">OFFSET('07b_ev_load_kwh'!$F$60:$O$60,0,COUNTA('07b_ev_load_kwh'!$F$58:$ZZ$58)-10,1,10)</definedName>
    <definedName name="b_Total_Annual_Peak" localSheetId="0">OFFSET('07b_ev_load_kwh'!$F$59:$O$59,0,COUNTA('07b_ev_load_kwh'!$F$58:$ZZ$58)-10,1,10)</definedName>
    <definedName name="b_Total_Load_Year" localSheetId="0">OFFSET('07b_ev_load_kwh'!$F$58:$O$58,0,COUNTA('07b_ev_load_kwh'!$F$58:$ZZ$58)-10,1,10)</definedName>
    <definedName name="d_Hawaii_Island" localSheetId="2">OFFSET('07d_estimate_total_ev_load_kwh'!$D$20:$M$20,0,COUNTA('07d_estimate_total_ev_load_kwh'!$D$17:$ZZ$17)-10,1,10)</definedName>
    <definedName name="d_Lanai" localSheetId="2">OFFSET('07d_estimate_total_ev_load_kwh'!$D$21:$M$21,0,COUNTA('07d_estimate_total_ev_load_kwh'!$D$17:$ZZ$17)-10,1,10)</definedName>
    <definedName name="d_Maui" localSheetId="2">OFFSET('07d_estimate_total_ev_load_kwh'!$D$19:$M$19,0,COUNTA('07d_estimate_total_ev_load_kwh'!$D$17:$ZZ$17)-10,1,10)</definedName>
    <definedName name="d_Molokai" localSheetId="2">OFFSET('07d_estimate_total_ev_load_kwh'!$D$22:$M$22,0,COUNTA('07d_estimate_total_ev_load_kwh'!$D$17:$ZZ$17)-10,1,10)</definedName>
    <definedName name="d_Oahu" localSheetId="2">OFFSET('07d_estimate_total_ev_load_kwh'!$D$18:$M$18,0,COUNTA('07d_estimate_total_ev_load_kwh'!$D$17:$ZZ$17)-10,1,10)</definedName>
    <definedName name="d_TARGET" localSheetId="2">OFFSET('07d_estimate_total_ev_load_kwh'!$D$25:$M$25,0,COUNTA('07d_estimate_total_ev_load_kwh'!$D$25:$ZZ$25)-10,1,10)</definedName>
    <definedName name="d_Total" localSheetId="2">OFFSET('07d_estimate_total_ev_load_kwh'!$D$23:$M$23,0,COUNTA('07d_estimate_total_ev_load_kwh'!$D$17:$ZZ$17)-10,1,10)</definedName>
    <definedName name="d_Year" localSheetId="2">OFFSET('07d_estimate_total_ev_load_kwh'!$D$17:$M$17,0,COUNTA('07d_estimate_total_ev_load_kwh'!$D$17:$ZZ$17)-10,1,10)</definedName>
    <definedName name="e_Target_All_Island_Total" localSheetId="3">OFFSET('07e_ev_count'!$I$32:$R$32,0,COUNTA('07e_ev_count'!$I$26:$ZZ$26)-10,1,10)</definedName>
    <definedName name="e_Target_Hawaii_Island" localSheetId="3">OFFSET('07e_ev_count'!$I$29:$R$29,0,COUNTA('07e_ev_count'!$I$26:$ZZ$26)-10,1,10)</definedName>
    <definedName name="e_Target_Lanai" localSheetId="3">OFFSET('07e_ev_count'!$I$30:$R$30,0,COUNTA('07e_ev_count'!$I$26:$ZZ$26)-10,1,10)</definedName>
    <definedName name="e_Target_Maui" localSheetId="3">OFFSET('07e_ev_count'!$I$28:$R$28,0,COUNTA('07e_ev_count'!$I$26:$ZZ$26)-10,1,10)</definedName>
    <definedName name="e_Target_Molokai" localSheetId="3">OFFSET('07e_ev_count'!$I$31:$R$31,0,COUNTA('07e_ev_count'!$I$26:$ZZ$26)-10,1,10)</definedName>
    <definedName name="e_Target_Oahu" localSheetId="3">OFFSET('07e_ev_count'!$I$27:$R$27,0,COUNTA('07e_ev_count'!$I$26:$ZZ$26)-10,1,10)</definedName>
    <definedName name="e_Target_Year" localSheetId="3">OFFSET('07e_ev_count'!$I$26:$R$26,0,COUNTA('07e_ev_count'!$I$26:$ZZ$26)-10,1,10)</definedName>
    <definedName name="e_Total_All_Island" localSheetId="3">OFFSET('07e_ev_count'!$D$24:$M$24,0,COUNTA('07e_ev_count'!$D$18:$ZZ$18)-10,1,10)</definedName>
    <definedName name="e_Total_Hawaii_Island" localSheetId="3">OFFSET('07e_ev_count'!$D$21:$M$21,0,COUNTA('07e_ev_count'!$D$18:$ZZ$18)-10,1,10)</definedName>
    <definedName name="e_Total_Lanai" localSheetId="3">OFFSET('07e_ev_count'!$D$22:$M$22,0,COUNTA('07e_ev_count'!$D$18:$ZZ$18)-10,1,10)</definedName>
    <definedName name="e_Total_Maui" localSheetId="3">OFFSET('07e_ev_count'!$D$20:$M$20,0,COUNTA('07e_ev_count'!$D$18:$ZZ$18)-10,1,10)</definedName>
    <definedName name="e_Total_Molokai" localSheetId="3">OFFSET('07e_ev_count'!$D$23:$M$23,0,COUNTA('07e_ev_count'!$D$18:$ZZ$18)-10,1,10)</definedName>
    <definedName name="e_Total_Oahu" localSheetId="3">OFFSET('07e_ev_count'!$D$19:$M$19,0,COUNTA('07e_ev_count'!$D$18:$ZZ$18)-10,1,10)</definedName>
    <definedName name="e_Total_Year" localSheetId="3">OFFSET('07e_ev_count'!$D$18:$M$18,0,COUNTA('07e_ev_count'!$D$18:$ZZ$18)-10,1,10)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4" i="2" l="1" a="1"/>
  <c r="F224" i="2" s="1"/>
  <c r="L104" i="2"/>
  <c r="K104" i="2"/>
  <c r="J104" i="2"/>
  <c r="I104" i="2"/>
  <c r="H104" i="2"/>
  <c r="G104" i="2"/>
  <c r="F104" i="2"/>
  <c r="G115" i="2"/>
  <c r="H115" i="2"/>
  <c r="I115" i="2"/>
  <c r="J115" i="2"/>
  <c r="K115" i="2"/>
  <c r="L115" i="2"/>
  <c r="F115" i="2"/>
  <c r="L106" i="2"/>
  <c r="K106" i="2"/>
  <c r="J106" i="2"/>
  <c r="I106" i="2"/>
  <c r="H106" i="2"/>
  <c r="G106" i="2"/>
  <c r="L105" i="2"/>
  <c r="K105" i="2"/>
  <c r="J105" i="2"/>
  <c r="I105" i="2"/>
  <c r="H105" i="2"/>
  <c r="G105" i="2"/>
  <c r="F106" i="2"/>
  <c r="F105" i="2"/>
  <c r="L117" i="2"/>
  <c r="K117" i="2"/>
  <c r="J117" i="2"/>
  <c r="I117" i="2"/>
  <c r="H117" i="2"/>
  <c r="G117" i="2"/>
  <c r="F117" i="2"/>
  <c r="L116" i="2"/>
  <c r="K116" i="2"/>
  <c r="J116" i="2"/>
  <c r="I116" i="2"/>
  <c r="H116" i="2"/>
  <c r="G116" i="2"/>
  <c r="F116" i="2"/>
  <c r="T25" i="4"/>
  <c r="T32" i="5"/>
  <c r="T21" i="5"/>
  <c r="T20" i="5"/>
  <c r="T19" i="5"/>
  <c r="T26" i="5"/>
  <c r="T18" i="5"/>
  <c r="T14" i="4"/>
  <c r="T13" i="4"/>
  <c r="T12" i="4"/>
  <c r="V7" i="2"/>
  <c r="V61" i="2"/>
  <c r="V60" i="2"/>
  <c r="V59" i="2"/>
  <c r="V110" i="2" s="1"/>
  <c r="V69" i="2"/>
  <c r="V68" i="2"/>
  <c r="V67" i="2"/>
  <c r="V77" i="2"/>
  <c r="V76" i="2"/>
  <c r="V75" i="2"/>
  <c r="V93" i="2"/>
  <c r="V92" i="2"/>
  <c r="V91" i="2"/>
  <c r="V85" i="2"/>
  <c r="V84" i="2"/>
  <c r="V83" i="2"/>
  <c r="V58" i="2"/>
  <c r="V98" i="2" s="1"/>
  <c r="V111" i="2" l="1"/>
  <c r="V109" i="2"/>
  <c r="V74" i="2"/>
  <c r="V82" i="2"/>
  <c r="V90" i="2"/>
  <c r="V66" i="2"/>
  <c r="V113" i="2"/>
  <c r="T24" i="5"/>
  <c r="V112" i="2"/>
  <c r="V114" i="2"/>
  <c r="V115" i="2" l="1"/>
  <c r="U7" i="2"/>
  <c r="S25" i="4"/>
  <c r="S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DE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T20" i="4"/>
  <c r="T19" i="4"/>
  <c r="T18" i="4"/>
  <c r="T23" i="4" l="1"/>
  <c r="U58" i="2"/>
  <c r="U109" i="2" s="1"/>
  <c r="H26" i="5"/>
  <c r="I26" i="5" s="1"/>
  <c r="J32" i="5"/>
  <c r="E61" i="2"/>
  <c r="E60" i="2"/>
  <c r="E59" i="2"/>
  <c r="E69" i="2"/>
  <c r="E68" i="2"/>
  <c r="E67" i="2"/>
  <c r="E77" i="2"/>
  <c r="E76" i="2"/>
  <c r="E75" i="2"/>
  <c r="E85" i="2"/>
  <c r="E84" i="2"/>
  <c r="E83" i="2"/>
  <c r="E93" i="2"/>
  <c r="E92" i="2"/>
  <c r="E91" i="2"/>
  <c r="U93" i="2"/>
  <c r="U92" i="2"/>
  <c r="U91" i="2"/>
  <c r="U85" i="2"/>
  <c r="U84" i="2"/>
  <c r="U83" i="2"/>
  <c r="U77" i="2"/>
  <c r="U76" i="2"/>
  <c r="U75" i="2"/>
  <c r="T75" i="2"/>
  <c r="T76" i="2"/>
  <c r="T77" i="2"/>
  <c r="U69" i="2"/>
  <c r="U68" i="2"/>
  <c r="U67" i="2"/>
  <c r="U61" i="2"/>
  <c r="U60" i="2"/>
  <c r="U59" i="2"/>
  <c r="U82" i="2" l="1"/>
  <c r="U110" i="2"/>
  <c r="U114" i="2"/>
  <c r="U90" i="2"/>
  <c r="V100" i="2"/>
  <c r="V101" i="2"/>
  <c r="V102" i="2"/>
  <c r="U74" i="2"/>
  <c r="U98" i="2"/>
  <c r="V103" i="2"/>
  <c r="U66" i="2"/>
  <c r="U111" i="2"/>
  <c r="U112" i="2"/>
  <c r="U113" i="2"/>
  <c r="U100" i="2"/>
  <c r="S67" i="2"/>
  <c r="T67" i="2"/>
  <c r="S68" i="2"/>
  <c r="T68" i="2"/>
  <c r="S69" i="2"/>
  <c r="T69" i="2"/>
  <c r="R69" i="2"/>
  <c r="R68" i="2"/>
  <c r="R67" i="2"/>
  <c r="O103" i="2"/>
  <c r="P103" i="2"/>
  <c r="Q103" i="2"/>
  <c r="R103" i="2"/>
  <c r="S103" i="2"/>
  <c r="N103" i="2"/>
  <c r="O102" i="2"/>
  <c r="P102" i="2"/>
  <c r="Q102" i="2"/>
  <c r="R102" i="2"/>
  <c r="N102" i="2"/>
  <c r="M103" i="2"/>
  <c r="M102" i="2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P58" i="2"/>
  <c r="P98" i="2" s="1"/>
  <c r="Q58" i="2"/>
  <c r="Q109" i="2" s="1"/>
  <c r="R58" i="2"/>
  <c r="R98" i="2" s="1"/>
  <c r="S58" i="2"/>
  <c r="S98" i="2" s="1"/>
  <c r="T58" i="2"/>
  <c r="T109" i="2" s="1"/>
  <c r="V104" i="2" l="1"/>
  <c r="U115" i="2"/>
  <c r="V116" i="2"/>
  <c r="V117" i="2"/>
  <c r="U101" i="2"/>
  <c r="S101" i="2"/>
  <c r="V99" i="2"/>
  <c r="P109" i="2"/>
  <c r="T101" i="2"/>
  <c r="R109" i="2"/>
  <c r="S109" i="2"/>
  <c r="T98" i="2"/>
  <c r="Q98" i="2"/>
  <c r="V106" i="2" l="1"/>
  <c r="V105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R25" i="4" l="1"/>
  <c r="Q25" i="4"/>
  <c r="T93" i="2" l="1"/>
  <c r="T92" i="2"/>
  <c r="T91" i="2"/>
  <c r="S93" i="2"/>
  <c r="S92" i="2"/>
  <c r="S91" i="2"/>
  <c r="T85" i="2"/>
  <c r="T84" i="2"/>
  <c r="T83" i="2"/>
  <c r="S77" i="2"/>
  <c r="R77" i="2"/>
  <c r="S76" i="2"/>
  <c r="R76" i="2"/>
  <c r="S75" i="2"/>
  <c r="R75" i="2"/>
  <c r="Q77" i="2"/>
  <c r="Q76" i="2"/>
  <c r="Q75" i="2"/>
  <c r="P77" i="2"/>
  <c r="O77" i="2"/>
  <c r="N77" i="2"/>
  <c r="P76" i="2"/>
  <c r="O76" i="2"/>
  <c r="N76" i="2"/>
  <c r="P75" i="2"/>
  <c r="O75" i="2"/>
  <c r="N75" i="2"/>
  <c r="Q69" i="2"/>
  <c r="P69" i="2"/>
  <c r="O69" i="2"/>
  <c r="N69" i="2"/>
  <c r="Q68" i="2"/>
  <c r="P68" i="2"/>
  <c r="O68" i="2"/>
  <c r="N68" i="2"/>
  <c r="Q67" i="2"/>
  <c r="P67" i="2"/>
  <c r="O67" i="2"/>
  <c r="N67" i="2"/>
  <c r="M77" i="2"/>
  <c r="M76" i="2"/>
  <c r="M75" i="2"/>
  <c r="M69" i="2"/>
  <c r="M68" i="2"/>
  <c r="M67" i="2"/>
  <c r="M61" i="2"/>
  <c r="M60" i="2"/>
  <c r="M59" i="2"/>
  <c r="T114" i="2" l="1"/>
  <c r="S113" i="2"/>
  <c r="U102" i="2"/>
  <c r="T100" i="2"/>
  <c r="R111" i="2"/>
  <c r="M101" i="2"/>
  <c r="N111" i="2"/>
  <c r="Q111" i="2"/>
  <c r="U103" i="2"/>
  <c r="P101" i="2"/>
  <c r="M111" i="2"/>
  <c r="N101" i="2"/>
  <c r="N100" i="2"/>
  <c r="R100" i="2"/>
  <c r="S102" i="2"/>
  <c r="P111" i="2"/>
  <c r="P100" i="2"/>
  <c r="Q101" i="2"/>
  <c r="R101" i="2"/>
  <c r="T102" i="2"/>
  <c r="M100" i="2"/>
  <c r="O101" i="2"/>
  <c r="O112" i="2"/>
  <c r="O100" i="2"/>
  <c r="Q100" i="2"/>
  <c r="S100" i="2"/>
  <c r="T103" i="2"/>
  <c r="P112" i="2"/>
  <c r="O111" i="2"/>
  <c r="M110" i="2"/>
  <c r="R112" i="2"/>
  <c r="Q112" i="2"/>
  <c r="T113" i="2"/>
  <c r="S112" i="2"/>
  <c r="T112" i="2"/>
  <c r="S111" i="2"/>
  <c r="T111" i="2"/>
  <c r="N61" i="2"/>
  <c r="N60" i="2"/>
  <c r="N59" i="2"/>
  <c r="O61" i="2"/>
  <c r="O60" i="2"/>
  <c r="O59" i="2"/>
  <c r="P61" i="2"/>
  <c r="P60" i="2"/>
  <c r="P59" i="2"/>
  <c r="N104" i="2" l="1"/>
  <c r="U99" i="2"/>
  <c r="U106" i="2" s="1"/>
  <c r="S104" i="2"/>
  <c r="R104" i="2"/>
  <c r="M115" i="2"/>
  <c r="Q104" i="2"/>
  <c r="M104" i="2"/>
  <c r="P104" i="2"/>
  <c r="O104" i="2"/>
  <c r="T104" i="2"/>
  <c r="U104" i="2"/>
  <c r="Q99" i="2"/>
  <c r="M99" i="2"/>
  <c r="P99" i="2"/>
  <c r="O99" i="2"/>
  <c r="S99" i="2"/>
  <c r="T99" i="2"/>
  <c r="N99" i="2"/>
  <c r="R99" i="2"/>
  <c r="Q61" i="2"/>
  <c r="Q60" i="2"/>
  <c r="Q59" i="2"/>
  <c r="U105" i="2" l="1"/>
  <c r="T106" i="2"/>
  <c r="T105" i="2"/>
  <c r="M106" i="2"/>
  <c r="M105" i="2"/>
  <c r="S106" i="2"/>
  <c r="S105" i="2"/>
  <c r="Q106" i="2"/>
  <c r="Q105" i="2"/>
  <c r="R106" i="2"/>
  <c r="R105" i="2"/>
  <c r="O106" i="2"/>
  <c r="O105" i="2"/>
  <c r="N106" i="2"/>
  <c r="N105" i="2"/>
  <c r="P106" i="2"/>
  <c r="P105" i="2"/>
  <c r="R61" i="2"/>
  <c r="R60" i="2"/>
  <c r="R59" i="2"/>
  <c r="O110" i="2"/>
  <c r="P110" i="2"/>
  <c r="S61" i="2"/>
  <c r="S60" i="2"/>
  <c r="S59" i="2"/>
  <c r="T61" i="2"/>
  <c r="T60" i="2"/>
  <c r="T59" i="2"/>
  <c r="S110" i="2" l="1"/>
  <c r="S115" i="2" s="1"/>
  <c r="O115" i="2"/>
  <c r="R110" i="2"/>
  <c r="T110" i="2"/>
  <c r="P116" i="2"/>
  <c r="P115" i="2"/>
  <c r="P117" i="2"/>
  <c r="N110" i="2"/>
  <c r="O116" i="2" s="1"/>
  <c r="Q110" i="2"/>
  <c r="K32" i="5"/>
  <c r="L32" i="5"/>
  <c r="M32" i="5"/>
  <c r="N32" i="5"/>
  <c r="O32" i="5"/>
  <c r="P32" i="5"/>
  <c r="Q32" i="5"/>
  <c r="R32" i="5"/>
  <c r="S32" i="5"/>
  <c r="I32" i="5"/>
  <c r="S116" i="2" l="1"/>
  <c r="T115" i="2"/>
  <c r="T116" i="2"/>
  <c r="U117" i="2"/>
  <c r="U116" i="2"/>
  <c r="N115" i="2"/>
  <c r="N117" i="2"/>
  <c r="N116" i="2"/>
  <c r="S117" i="2"/>
  <c r="R115" i="2"/>
  <c r="R117" i="2"/>
  <c r="R116" i="2"/>
  <c r="Q117" i="2"/>
  <c r="Q115" i="2"/>
  <c r="Q116" i="2"/>
  <c r="T117" i="2"/>
  <c r="O117" i="2"/>
  <c r="S19" i="4"/>
  <c r="S20" i="5"/>
  <c r="S21" i="5"/>
  <c r="S20" i="4" s="1"/>
  <c r="S19" i="5"/>
  <c r="S18" i="4" s="1"/>
  <c r="R20" i="5" l="1"/>
  <c r="R19" i="4" s="1"/>
  <c r="R21" i="5"/>
  <c r="R20" i="4" s="1"/>
  <c r="R19" i="5"/>
  <c r="R18" i="4" s="1"/>
  <c r="Q20" i="5"/>
  <c r="Q19" i="4" s="1"/>
  <c r="Q21" i="5"/>
  <c r="Q20" i="4" s="1"/>
  <c r="Q19" i="5"/>
  <c r="Q18" i="4" s="1"/>
  <c r="P20" i="5"/>
  <c r="P19" i="4" s="1"/>
  <c r="P21" i="5"/>
  <c r="P20" i="4" s="1"/>
  <c r="P19" i="5"/>
  <c r="P18" i="4" s="1"/>
  <c r="O20" i="5"/>
  <c r="O19" i="4" s="1"/>
  <c r="O21" i="5"/>
  <c r="O20" i="4" s="1"/>
  <c r="O19" i="5"/>
  <c r="O18" i="4" s="1"/>
  <c r="N20" i="5"/>
  <c r="N19" i="4" s="1"/>
  <c r="N21" i="5"/>
  <c r="N20" i="4" s="1"/>
  <c r="N19" i="5"/>
  <c r="N18" i="4" s="1"/>
  <c r="M20" i="5"/>
  <c r="M19" i="4" s="1"/>
  <c r="M21" i="5"/>
  <c r="M20" i="4" s="1"/>
  <c r="M19" i="5"/>
  <c r="M18" i="4" s="1"/>
  <c r="L20" i="5"/>
  <c r="L19" i="4" s="1"/>
  <c r="L21" i="5"/>
  <c r="L20" i="4" s="1"/>
  <c r="L19" i="5"/>
  <c r="L18" i="4" s="1"/>
  <c r="K20" i="5"/>
  <c r="K19" i="4" s="1"/>
  <c r="K21" i="5"/>
  <c r="K20" i="4" s="1"/>
  <c r="K19" i="5"/>
  <c r="K18" i="4" s="1"/>
  <c r="J20" i="5"/>
  <c r="J19" i="4" s="1"/>
  <c r="J21" i="5"/>
  <c r="J20" i="4" s="1"/>
  <c r="J19" i="5"/>
  <c r="J18" i="4" s="1"/>
  <c r="I20" i="5"/>
  <c r="I19" i="4" s="1"/>
  <c r="I21" i="5"/>
  <c r="I20" i="4" s="1"/>
  <c r="I19" i="5"/>
  <c r="I18" i="4" s="1"/>
  <c r="H20" i="5"/>
  <c r="H19" i="4" s="1"/>
  <c r="H21" i="5"/>
  <c r="H20" i="4" s="1"/>
  <c r="H19" i="5"/>
  <c r="H18" i="4" s="1"/>
  <c r="G20" i="5"/>
  <c r="G19" i="4" s="1"/>
  <c r="G21" i="5"/>
  <c r="G20" i="4" s="1"/>
  <c r="G19" i="5"/>
  <c r="G18" i="4" s="1"/>
  <c r="F20" i="5"/>
  <c r="F19" i="4" s="1"/>
  <c r="F21" i="5"/>
  <c r="F20" i="4" s="1"/>
  <c r="F19" i="5"/>
  <c r="F18" i="4" s="1"/>
  <c r="E20" i="5"/>
  <c r="E19" i="4" s="1"/>
  <c r="E21" i="5"/>
  <c r="E20" i="4" s="1"/>
  <c r="E19" i="5"/>
  <c r="E18" i="4" s="1"/>
  <c r="D20" i="5"/>
  <c r="D19" i="4" s="1"/>
  <c r="D21" i="5"/>
  <c r="D20" i="4" s="1"/>
  <c r="D19" i="5"/>
  <c r="D18" i="4" s="1"/>
  <c r="P24" i="5" l="1"/>
  <c r="H24" i="5"/>
  <c r="D24" i="5"/>
  <c r="K24" i="5"/>
  <c r="R24" i="5"/>
  <c r="N24" i="5"/>
  <c r="J24" i="5"/>
  <c r="F24" i="5"/>
  <c r="L24" i="5"/>
  <c r="O24" i="5"/>
  <c r="G24" i="5"/>
  <c r="Q24" i="5"/>
  <c r="M24" i="5"/>
  <c r="I24" i="5"/>
  <c r="E24" i="5"/>
  <c r="S7" i="2"/>
  <c r="T7" i="2"/>
  <c r="E26" i="5"/>
  <c r="F26" i="5" s="1"/>
  <c r="G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E18" i="5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GF15" i="5" l="1"/>
  <c r="GG15" i="5"/>
  <c r="GH15" i="5"/>
  <c r="GI15" i="5"/>
  <c r="GJ15" i="5"/>
  <c r="GK15" i="5"/>
  <c r="GL15" i="5"/>
  <c r="GM15" i="5"/>
  <c r="GN15" i="5"/>
  <c r="GO15" i="5"/>
  <c r="GP15" i="5"/>
  <c r="GQ15" i="5"/>
  <c r="GR15" i="5"/>
  <c r="GS15" i="5"/>
  <c r="GT15" i="5"/>
  <c r="GU15" i="5"/>
  <c r="GV15" i="5"/>
  <c r="GW15" i="5"/>
  <c r="GX15" i="5"/>
  <c r="GY15" i="5"/>
  <c r="GZ15" i="5"/>
  <c r="HA15" i="5"/>
  <c r="HB15" i="5"/>
  <c r="HC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EV15" i="5"/>
  <c r="EW15" i="5"/>
  <c r="EX15" i="5"/>
  <c r="EY15" i="5"/>
  <c r="EZ15" i="5"/>
  <c r="FA15" i="5"/>
  <c r="FB15" i="5"/>
  <c r="FC15" i="5"/>
  <c r="FD15" i="5"/>
  <c r="FE15" i="5"/>
  <c r="FF15" i="5"/>
  <c r="FG15" i="5"/>
  <c r="FH15" i="5"/>
  <c r="FI15" i="5"/>
  <c r="FJ15" i="5"/>
  <c r="FK15" i="5"/>
  <c r="FL15" i="5"/>
  <c r="FM15" i="5"/>
  <c r="FN15" i="5"/>
  <c r="FO15" i="5"/>
  <c r="FP15" i="5"/>
  <c r="FQ15" i="5"/>
  <c r="FR15" i="5"/>
  <c r="FS15" i="5"/>
  <c r="FT15" i="5"/>
  <c r="FU15" i="5"/>
  <c r="FV15" i="5"/>
  <c r="FW15" i="5"/>
  <c r="FX15" i="5"/>
  <c r="FY15" i="5"/>
  <c r="FZ15" i="5"/>
  <c r="GA15" i="5"/>
  <c r="GB15" i="5"/>
  <c r="GC15" i="5"/>
  <c r="GD15" i="5"/>
  <c r="GE15" i="5"/>
  <c r="D15" i="5"/>
  <c r="S23" i="4" l="1"/>
  <c r="I23" i="4"/>
  <c r="Q23" i="4"/>
  <c r="P23" i="4"/>
  <c r="O23" i="4"/>
  <c r="N23" i="4"/>
  <c r="M23" i="4"/>
  <c r="L23" i="4"/>
  <c r="K23" i="4"/>
  <c r="J23" i="4"/>
  <c r="H23" i="4"/>
  <c r="G23" i="4"/>
  <c r="F23" i="4"/>
  <c r="E23" i="4"/>
  <c r="D23" i="4"/>
  <c r="R23" i="4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O6" i="2"/>
  <c r="N6" i="2" l="1"/>
  <c r="O58" i="2"/>
  <c r="O82" i="2" s="1"/>
  <c r="S66" i="2"/>
  <c r="S74" i="2"/>
  <c r="S90" i="2"/>
  <c r="S82" i="2"/>
  <c r="R66" i="2"/>
  <c r="R90" i="2"/>
  <c r="R74" i="2"/>
  <c r="R82" i="2"/>
  <c r="Q82" i="2"/>
  <c r="Q90" i="2"/>
  <c r="Q74" i="2"/>
  <c r="Q66" i="2"/>
  <c r="P66" i="2"/>
  <c r="P74" i="2"/>
  <c r="P82" i="2"/>
  <c r="P90" i="2"/>
  <c r="T74" i="2"/>
  <c r="T82" i="2"/>
  <c r="T90" i="2"/>
  <c r="T66" i="2"/>
  <c r="O74" i="2" l="1"/>
  <c r="O90" i="2"/>
  <c r="O109" i="2"/>
  <c r="O98" i="2"/>
  <c r="O66" i="2"/>
  <c r="M6" i="2"/>
  <c r="N58" i="2"/>
  <c r="N109" i="2" s="1"/>
  <c r="L6" i="2" l="1"/>
  <c r="M58" i="2"/>
  <c r="M109" i="2" s="1"/>
  <c r="N98" i="2"/>
  <c r="N74" i="2"/>
  <c r="N82" i="2"/>
  <c r="N66" i="2"/>
  <c r="N90" i="2"/>
  <c r="M98" i="2" l="1"/>
  <c r="M82" i="2"/>
  <c r="M66" i="2"/>
  <c r="M90" i="2"/>
  <c r="M74" i="2"/>
  <c r="K6" i="2"/>
  <c r="L58" i="2"/>
  <c r="L109" i="2" s="1"/>
  <c r="L82" i="2" l="1"/>
  <c r="L74" i="2"/>
  <c r="L66" i="2"/>
  <c r="L90" i="2"/>
  <c r="L98" i="2"/>
  <c r="J6" i="2"/>
  <c r="K58" i="2"/>
  <c r="K109" i="2" s="1"/>
  <c r="K74" i="2" l="1"/>
  <c r="K98" i="2"/>
  <c r="K82" i="2"/>
  <c r="K90" i="2"/>
  <c r="K66" i="2"/>
  <c r="J58" i="2"/>
  <c r="J109" i="2" s="1"/>
  <c r="I6" i="2"/>
  <c r="H6" i="2" l="1"/>
  <c r="I58" i="2"/>
  <c r="I109" i="2" s="1"/>
  <c r="J98" i="2"/>
  <c r="J74" i="2"/>
  <c r="J66" i="2"/>
  <c r="J82" i="2"/>
  <c r="J90" i="2"/>
  <c r="I90" i="2" l="1"/>
  <c r="I66" i="2"/>
  <c r="I98" i="2"/>
  <c r="I74" i="2"/>
  <c r="I82" i="2"/>
  <c r="G6" i="2"/>
  <c r="H58" i="2"/>
  <c r="H109" i="2" s="1"/>
  <c r="H82" i="2" l="1"/>
  <c r="H90" i="2"/>
  <c r="H98" i="2"/>
  <c r="H74" i="2"/>
  <c r="H66" i="2"/>
  <c r="F6" i="2"/>
  <c r="F58" i="2" s="1"/>
  <c r="G58" i="2"/>
  <c r="G109" i="2" s="1"/>
  <c r="F109" i="2" l="1"/>
  <c r="F191" i="2" a="1"/>
  <c r="F191" i="2" s="1"/>
  <c r="F190" i="2" a="1"/>
  <c r="F190" i="2" s="1"/>
  <c r="F188" i="2" a="1"/>
  <c r="F188" i="2" s="1"/>
  <c r="F189" i="2" a="1"/>
  <c r="F189" i="2" s="1"/>
  <c r="G74" i="2"/>
  <c r="G98" i="2"/>
  <c r="G82" i="2"/>
  <c r="G90" i="2"/>
  <c r="G66" i="2"/>
  <c r="F98" i="2"/>
  <c r="F66" i="2"/>
  <c r="F74" i="2"/>
  <c r="F82" i="2"/>
  <c r="F90" i="2"/>
  <c r="F238" i="2" l="1" a="1"/>
  <c r="F238" i="2" s="1"/>
  <c r="F234" i="2" a="1"/>
  <c r="F234" i="2" s="1"/>
  <c r="F233" i="2" a="1"/>
  <c r="F233" i="2" s="1"/>
  <c r="F236" i="2" a="1"/>
  <c r="F236" i="2" s="1"/>
  <c r="F235" i="2" a="1"/>
  <c r="F235" i="2" s="1"/>
  <c r="F237" i="2" a="1"/>
  <c r="F237" i="2" s="1"/>
  <c r="F219" i="2" a="1"/>
  <c r="F219" i="2" s="1"/>
  <c r="F218" i="2" a="1"/>
  <c r="F218" i="2" s="1"/>
  <c r="F217" i="2" a="1"/>
  <c r="F217" i="2" s="1"/>
  <c r="F216" i="2" a="1"/>
  <c r="F216" i="2" s="1"/>
  <c r="F226" i="2" a="1"/>
  <c r="F226" i="2" s="1"/>
  <c r="F223" i="2" a="1"/>
  <c r="F223" i="2" s="1"/>
  <c r="F225" i="2" a="1"/>
  <c r="F225" i="2" s="1"/>
  <c r="F227" i="2" a="1"/>
  <c r="F227" i="2" s="1"/>
  <c r="F228" i="2" a="1"/>
  <c r="F228" i="2" s="1"/>
  <c r="F198" i="2" a="1"/>
  <c r="F198" i="2" s="1"/>
  <c r="F197" i="2" a="1"/>
  <c r="F197" i="2" s="1"/>
  <c r="F196" i="2" a="1"/>
  <c r="F196" i="2" s="1"/>
  <c r="F195" i="2" a="1"/>
  <c r="F195" i="2" s="1"/>
  <c r="F212" i="2" a="1"/>
  <c r="F212" i="2" s="1"/>
  <c r="F211" i="2" a="1"/>
  <c r="F211" i="2" s="1"/>
  <c r="F209" i="2" a="1"/>
  <c r="F209" i="2" s="1"/>
  <c r="F210" i="2" a="1"/>
  <c r="F210" i="2" s="1"/>
  <c r="F205" i="2" a="1"/>
  <c r="F205" i="2" s="1"/>
  <c r="F202" i="2" a="1"/>
  <c r="F202" i="2" s="1"/>
  <c r="F204" i="2" a="1"/>
  <c r="F204" i="2" s="1"/>
  <c r="F203" i="2" a="1"/>
  <c r="F203" i="2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<sst xmlns="http://schemas.openxmlformats.org/spreadsheetml/2006/main" count="1388" uniqueCount="100">
  <si>
    <t>Target</t>
  </si>
  <si>
    <r>
      <t>Metric</t>
    </r>
    <r>
      <rPr>
        <sz val="12"/>
        <color theme="1"/>
        <rFont val="Calibri"/>
        <family val="2"/>
        <scheme val="minor"/>
      </rPr>
      <t>: Measurable energy (kWh) delivered at EV charging stations in approved EV tariffs by time period, to be expanded to include enrollment in any subsequently approved EV tariffs (e.g., EV-U, EV-F, EV-Bus, EV-Maui, EV-J/P).</t>
    </r>
  </si>
  <si>
    <r>
      <t>Metric</t>
    </r>
    <r>
      <rPr>
        <sz val="12"/>
        <color theme="1"/>
        <rFont val="Calibri"/>
        <family val="2"/>
        <scheme val="minor"/>
      </rPr>
      <t>: Average demand (kW) attributable to measured EV charging in approved EV tariffs by hour, to be expanded to include any subsequently approved EV tariffs.</t>
    </r>
  </si>
  <si>
    <r>
      <t>Metric</t>
    </r>
    <r>
      <rPr>
        <sz val="12"/>
        <color theme="1"/>
        <rFont val="Calibri"/>
        <family val="2"/>
        <scheme val="minor"/>
      </rPr>
      <t>: Estimated total EV load (kWh),measured by: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</si>
  <si>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Calibri"/>
        <family val="2"/>
        <scheme val="minor"/>
      </rPr>
      <t>Average kWh/mile (expected to be approx. 0.31); and</t>
    </r>
  </si>
  <si>
    <r>
      <t>Metric</t>
    </r>
    <r>
      <rPr>
        <sz val="12"/>
        <color theme="1"/>
        <rFont val="Calibri"/>
        <family val="2"/>
        <scheme val="minor"/>
      </rPr>
      <t>: Total number of registered light-duty EVs by island as reported by the Department of Business, Economic Development, and Tourism.</t>
    </r>
  </si>
  <si>
    <r>
      <t>Ride Share Fueling Hubs:</t>
    </r>
    <r>
      <rPr>
        <sz val="12"/>
        <color theme="1"/>
        <rFont val="Calibri"/>
        <family val="2"/>
        <scheme val="minor"/>
      </rPr>
      <t xml:space="preserve"> Number of shared fueling hubs for Ride Share Only (with stored energy capabilities)</t>
    </r>
  </si>
  <si>
    <t>Peak</t>
  </si>
  <si>
    <t xml:space="preserve">Off peak </t>
  </si>
  <si>
    <t>EV-F</t>
  </si>
  <si>
    <t>EV-MAUI</t>
  </si>
  <si>
    <t>Maui</t>
  </si>
  <si>
    <t xml:space="preserve">EV-U </t>
  </si>
  <si>
    <t>eBus</t>
  </si>
  <si>
    <t>Passenger, Electric</t>
  </si>
  <si>
    <t>Vehicle</t>
  </si>
  <si>
    <t>Series</t>
  </si>
  <si>
    <t>Unit</t>
  </si>
  <si>
    <t xml:space="preserve">Total </t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</si>
  <si>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Calibri"/>
        <family val="2"/>
        <scheme val="minor"/>
      </rPr>
      <t>Load (kWh) from e-Buses</t>
    </r>
  </si>
  <si>
    <t xml:space="preserve">EV kWh sales forecasted in the IGP proceeding for the applicable year. </t>
  </si>
  <si>
    <r>
      <t>Target</t>
    </r>
    <r>
      <rPr>
        <sz val="12"/>
        <color theme="1"/>
        <rFont val="Calibri"/>
        <family val="2"/>
        <scheme val="minor"/>
      </rPr>
      <t xml:space="preserve">: EV count as forecasted in the IGP </t>
    </r>
  </si>
  <si>
    <t>https://www.hawaiianelectric.com/documents/clean_energy_hawaii/integrated_grid_planning/stakeholder_engagement/working_groups/forecast_assumptions/EoT_forecast_IGP.xlsx</t>
  </si>
  <si>
    <r>
      <t xml:space="preserve">Target: </t>
    </r>
    <r>
      <rPr>
        <sz val="12"/>
        <color theme="1"/>
        <rFont val="Calibri"/>
        <family val="2"/>
        <scheme val="minor"/>
      </rPr>
      <t>Annual decrease in proportion of average demand (kW) attributable to measurable EV charging during on-peak hours.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</si>
  <si>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Calibri"/>
        <family val="2"/>
        <scheme val="minor"/>
      </rPr>
      <t>Average vehicle miles traveled (specific to Oahu, Maui, and Hawaii islands);</t>
    </r>
  </si>
  <si>
    <r>
      <t>·</t>
    </r>
    <r>
      <rPr>
        <sz val="7"/>
        <color theme="1"/>
        <rFont val="Times New Roman"/>
        <family val="1"/>
      </rPr>
      <t xml:space="preserve">                </t>
    </r>
    <r>
      <rPr>
        <sz val="12"/>
        <color theme="1"/>
        <rFont val="Calibri"/>
        <family val="2"/>
        <scheme val="minor"/>
      </rPr>
      <t>Number of registered light-duty EVs (specific to Oahu, Maui, and Hawaii islands);</t>
    </r>
  </si>
  <si>
    <t>Ave. kWh/mile =</t>
  </si>
  <si>
    <t>Ave. veh. miles (O‘ahu) =</t>
  </si>
  <si>
    <t>Ave. veh. miles (Hawai‘i) =</t>
  </si>
  <si>
    <t>Ave. veh. miles (Maui) =</t>
  </si>
  <si>
    <t>http://dbedt.hawaii.gov/economic/databook/</t>
  </si>
  <si>
    <t>TARGET</t>
  </si>
  <si>
    <t>Total</t>
  </si>
  <si>
    <t>N/A</t>
  </si>
  <si>
    <t>TARGET - IGP (Slide 50)</t>
  </si>
  <si>
    <t>CONSOLIDATED as MWh</t>
  </si>
  <si>
    <t>IGP Slide 66</t>
  </si>
  <si>
    <t>Target 1</t>
  </si>
  <si>
    <t>Target 2</t>
  </si>
  <si>
    <t>Number of shared fueling hubs for Ride Share Only (with stored energy capabilities)</t>
  </si>
  <si>
    <t xml:space="preserve">Vehicle Count by Year </t>
  </si>
  <si>
    <t>&lt;-- From "EV Load KWh"</t>
  </si>
  <si>
    <r>
      <rPr>
        <b/>
        <sz val="12"/>
        <color theme="1"/>
        <rFont val="Calibri"/>
        <family val="2"/>
        <scheme val="minor"/>
      </rPr>
      <t>Target:</t>
    </r>
    <r>
      <rPr>
        <sz val="12"/>
        <color theme="1"/>
        <rFont val="Calibri"/>
        <family val="2"/>
        <scheme val="minor"/>
      </rPr>
      <t xml:space="preserve"> (1) Total annual increase in energy (kWh) delivered to EV charging stations and</t>
    </r>
  </si>
  <si>
    <t xml:space="preserve">             (2) annual decrease in proportion of energy (kWh) delivered to EV charging stations during the on-peak period.</t>
  </si>
  <si>
    <t>IGP slide 50</t>
  </si>
  <si>
    <t>Annual ratio decrease [Current year minus Prior year]
(negative value = decrease)</t>
  </si>
  <si>
    <t>EV-U</t>
  </si>
  <si>
    <t>Daytime</t>
  </si>
  <si>
    <t>Ratio of Annual Peak Energy/Total energy</t>
  </si>
  <si>
    <t>Chart Series Labels (if concatenation is desired)</t>
  </si>
  <si>
    <t>Lāna‘i</t>
  </si>
  <si>
    <t>Hawai‘i</t>
  </si>
  <si>
    <t>Moloka‘i</t>
  </si>
  <si>
    <t>O‘ahu</t>
  </si>
  <si>
    <t>Hawai‘i Island</t>
  </si>
  <si>
    <t>Oʻahu</t>
  </si>
  <si>
    <t>Molokaʻi</t>
  </si>
  <si>
    <t>Hawaiʻi Island</t>
  </si>
  <si>
    <t>DATA FOR TABLE ADDED TO WEBPAGE ARE HERE ---&gt;</t>
  </si>
  <si>
    <t>Total Annual Change (kWh)</t>
  </si>
  <si>
    <t>Annual change in proportion of energy (kWh) delivered to EV charging stations during peak hours</t>
  </si>
  <si>
    <t>*Scorecard Target 2 is achieved for every year that the Cumulative ratio of peak load to total load declines relative to the previous year.</t>
  </si>
  <si>
    <t>*Scorecard Target 1 is achieved for every year that the Cumulative Change is a positive value.</t>
  </si>
  <si>
    <t>Annual change in proportion of energy during peak hours</t>
  </si>
  <si>
    <t>Total Annual Load Energy (kWh) Delivered to EV Charging Stations</t>
  </si>
  <si>
    <t>EV-U Annual Load Energy (kWh) Delivered to EV Charging Stations</t>
  </si>
  <si>
    <t>EV-F Annual Load Energy (kWh) Delivered to EV Charging Stations</t>
  </si>
  <si>
    <t>EV-MAUI Annual Load Energy (kWh) Delivered to EV Charging Stations</t>
  </si>
  <si>
    <t>eBus Annual Load Energy (kWh) Delivered to EV Charging Stations</t>
  </si>
  <si>
    <t>Target 2: Annual Change in Proportion of Energy (kWh) Delivered to EV Charging Stations During Peak Hours</t>
  </si>
  <si>
    <t>Target 1: Annual Change in Energy (kWh) Delivered to EV Charging Stations</t>
  </si>
  <si>
    <t xml:space="preserve"> Total</t>
  </si>
  <si>
    <t xml:space="preserve"> EV-F</t>
  </si>
  <si>
    <t xml:space="preserve"> EV-U</t>
  </si>
  <si>
    <t xml:space="preserve"> eBus</t>
  </si>
  <si>
    <t xml:space="preserve"> EV-MAUI</t>
  </si>
  <si>
    <t>https://dbedt.hawaii.gov/economic/files/2022/02/Monthly_Energy_Data.xlsx</t>
  </si>
  <si>
    <t>Reported in charts by individual tariff and on a consolidated basis (all tariffs). Data by island is provided herein.</t>
  </si>
  <si>
    <t>*2021 Data Book Table 18.19</t>
  </si>
  <si>
    <t>Assume 2022 is the same as 2021</t>
  </si>
  <si>
    <t>2020*</t>
  </si>
  <si>
    <t>2021*</t>
  </si>
  <si>
    <t>MAX</t>
  </si>
  <si>
    <t>J</t>
  </si>
  <si>
    <t>Performance Target Met</t>
  </si>
  <si>
    <t>Performance Target Missed</t>
  </si>
  <si>
    <t>NARRATIVE TABLE DEFINITIONS BEGIN HERE</t>
  </si>
  <si>
    <t>Total Peak</t>
  </si>
  <si>
    <t xml:space="preserve"> Off peak </t>
  </si>
  <si>
    <t xml:space="preserve"> Daytime</t>
  </si>
  <si>
    <t>Year</t>
  </si>
  <si>
    <t>EV-U Peak</t>
  </si>
  <si>
    <t>EV-F Peak</t>
  </si>
  <si>
    <t>EV-MAUI Peak</t>
  </si>
  <si>
    <t>eBus Peak</t>
  </si>
  <si>
    <t>MAUI</t>
  </si>
  <si>
    <t>TARGET 1</t>
  </si>
  <si>
    <t>TARGET 2</t>
  </si>
  <si>
    <t>TOTAL</t>
  </si>
  <si>
    <t>*Scorecard Target 1 is achieved for every year that the Cumulative Change is a positive value.et 1 is achieved for every year that the Cumulative Change is a positive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</si>
</sst>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mmm\-yy;@"/>
    <numFmt numFmtId="165" formatCode="#,##0;\(#,##0\);\ &quot;-&quot;;_(@_)"/>
    <numFmt numFmtId="166" formatCode="_(* #,##0_);_(* \(#,##0\);_(* &quot;-&quot;??_);_(@_)"/>
    <numFmt numFmtId="167" formatCode="#,##0;\(#,##0\);&quot;-&quot;"/>
    <numFmt numFmtId="168" formatCode="0.000"/>
    <numFmt numFmtId="169" formatCode="_(* #,##0.000_);_(* \(#,##0.000\);_(* &quot;-&quot;??_);_(@_)"/>
    <numFmt numFmtId="170" formatCode="0_);[Red]\(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Wingdings"/>
      <charset val="2"/>
    </font>
    <font>
      <b/>
      <sz val="20"/>
      <color rgb="FFFF0000"/>
      <name val="Wingdings 3"/>
      <family val="1"/>
      <charset val="2"/>
    </font>
    <font>
      <b/>
      <sz val="20"/>
      <color rgb="FF00B050"/>
      <name val="Wingdings 3"/>
      <family val="1"/>
      <charset val="2"/>
    </font>
    <font>
      <b/>
      <sz val="16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</cellStyleXfs>
  <cellXfs count="140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2" fillId="2" borderId="0" xfId="0" applyFont="1" applyFill="1"/>
    <xf numFmtId="0" fontId="2" fillId="0" borderId="0" xfId="0" applyFont="1" applyFill="1"/>
    <xf numFmtId="0" fontId="4" fillId="0" borderId="0" xfId="0" applyFont="1" applyAlignment="1">
      <alignment vertical="center"/>
    </xf>
    <xf numFmtId="0" fontId="0" fillId="0" borderId="0" xfId="0"/>
    <xf numFmtId="3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2" xfId="0" applyBorder="1"/>
    <xf numFmtId="0" fontId="3" fillId="0" borderId="2" xfId="0" applyFont="1" applyBorder="1"/>
    <xf numFmtId="164" fontId="3" fillId="0" borderId="2" xfId="0" applyNumberFormat="1" applyFont="1" applyBorder="1"/>
    <xf numFmtId="17" fontId="3" fillId="0" borderId="2" xfId="0" applyNumberFormat="1" applyFont="1" applyBorder="1"/>
    <xf numFmtId="0" fontId="2" fillId="3" borderId="0" xfId="0" applyFont="1" applyFill="1"/>
    <xf numFmtId="0" fontId="8" fillId="0" borderId="0" xfId="2"/>
    <xf numFmtId="166" fontId="0" fillId="0" borderId="0" xfId="1" applyNumberFormat="1" applyFont="1"/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right"/>
    </xf>
    <xf numFmtId="164" fontId="2" fillId="2" borderId="2" xfId="0" applyNumberFormat="1" applyFont="1" applyFill="1" applyBorder="1"/>
    <xf numFmtId="17" fontId="2" fillId="2" borderId="2" xfId="0" applyNumberFormat="1" applyFont="1" applyFill="1" applyBorder="1"/>
    <xf numFmtId="166" fontId="9" fillId="3" borderId="0" xfId="1" applyNumberFormat="1" applyFont="1" applyFill="1"/>
    <xf numFmtId="43" fontId="9" fillId="3" borderId="0" xfId="1" applyNumberFormat="1" applyFont="1" applyFill="1"/>
    <xf numFmtId="0" fontId="0" fillId="0" borderId="0" xfId="0" applyAlignment="1">
      <alignment horizontal="right"/>
    </xf>
    <xf numFmtId="0" fontId="0" fillId="0" borderId="0" xfId="0"/>
    <xf numFmtId="167" fontId="0" fillId="0" borderId="0" xfId="0" applyNumberFormat="1"/>
    <xf numFmtId="3" fontId="0" fillId="0" borderId="0" xfId="0" applyNumberFormat="1"/>
    <xf numFmtId="166" fontId="2" fillId="3" borderId="0" xfId="1" applyNumberFormat="1" applyFont="1" applyFill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4" borderId="0" xfId="0" applyFill="1"/>
    <xf numFmtId="166" fontId="0" fillId="4" borderId="0" xfId="1" applyNumberFormat="1" applyFont="1" applyFill="1"/>
    <xf numFmtId="0" fontId="3" fillId="0" borderId="0" xfId="0" applyFont="1"/>
    <xf numFmtId="3" fontId="0" fillId="4" borderId="0" xfId="0" applyNumberFormat="1" applyFill="1"/>
    <xf numFmtId="0" fontId="0" fillId="3" borderId="0" xfId="0" applyFill="1"/>
    <xf numFmtId="0" fontId="10" fillId="2" borderId="0" xfId="0" applyFont="1" applyFill="1"/>
    <xf numFmtId="168" fontId="0" fillId="0" borderId="0" xfId="0" applyNumberFormat="1"/>
    <xf numFmtId="0" fontId="3" fillId="3" borderId="0" xfId="0" applyFont="1" applyFill="1"/>
    <xf numFmtId="166" fontId="3" fillId="3" borderId="0" xfId="0" applyNumberFormat="1" applyFont="1" applyFill="1"/>
    <xf numFmtId="1" fontId="0" fillId="0" borderId="0" xfId="0" applyNumberFormat="1"/>
    <xf numFmtId="0" fontId="5" fillId="0" borderId="0" xfId="0" applyFont="1"/>
    <xf numFmtId="0" fontId="3" fillId="0" borderId="2" xfId="0" applyNumberFormat="1" applyFont="1" applyBorder="1"/>
    <xf numFmtId="0" fontId="2" fillId="2" borderId="2" xfId="0" applyNumberFormat="1" applyFont="1" applyFill="1" applyBorder="1"/>
    <xf numFmtId="169" fontId="0" fillId="0" borderId="0" xfId="1" applyNumberFormat="1" applyFont="1"/>
    <xf numFmtId="3" fontId="0" fillId="3" borderId="0" xfId="0" applyNumberFormat="1" applyFill="1"/>
    <xf numFmtId="3" fontId="11" fillId="3" borderId="0" xfId="3" applyNumberFormat="1" applyFill="1"/>
    <xf numFmtId="0" fontId="0" fillId="5" borderId="0" xfId="0" applyFill="1" applyAlignment="1">
      <alignment wrapText="1"/>
    </xf>
    <xf numFmtId="0" fontId="0" fillId="0" borderId="0" xfId="0" applyAlignment="1">
      <alignment vertical="top"/>
    </xf>
    <xf numFmtId="0" fontId="0" fillId="5" borderId="0" xfId="0" applyFill="1" applyAlignment="1">
      <alignment vertical="top" wrapText="1"/>
    </xf>
    <xf numFmtId="0" fontId="5" fillId="0" borderId="3" xfId="0" applyFont="1" applyBorder="1"/>
    <xf numFmtId="166" fontId="5" fillId="0" borderId="3" xfId="1" applyNumberFormat="1" applyFont="1" applyBorder="1" applyAlignment="1">
      <alignment horizontal="right"/>
    </xf>
    <xf numFmtId="166" fontId="5" fillId="0" borderId="3" xfId="0" applyNumberFormat="1" applyFont="1" applyBorder="1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0" fillId="0" borderId="0" xfId="0" applyAlignment="1">
      <alignment vertical="center"/>
    </xf>
    <xf numFmtId="9" fontId="5" fillId="0" borderId="3" xfId="4" applyFont="1" applyBorder="1"/>
    <xf numFmtId="9" fontId="5" fillId="0" borderId="3" xfId="4" applyFont="1" applyBorder="1" applyAlignment="1">
      <alignment horizontal="right"/>
    </xf>
    <xf numFmtId="0" fontId="16" fillId="2" borderId="3" xfId="0" applyFont="1" applyFill="1" applyBorder="1"/>
    <xf numFmtId="9" fontId="13" fillId="6" borderId="3" xfId="5" applyNumberFormat="1" applyBorder="1"/>
    <xf numFmtId="9" fontId="14" fillId="7" borderId="3" xfId="6" applyNumberFormat="1" applyBorder="1"/>
    <xf numFmtId="0" fontId="10" fillId="2" borderId="5" xfId="0" applyFont="1" applyFill="1" applyBorder="1"/>
    <xf numFmtId="166" fontId="10" fillId="2" borderId="0" xfId="1" applyNumberFormat="1" applyFont="1" applyFill="1"/>
    <xf numFmtId="0" fontId="0" fillId="2" borderId="0" xfId="0" applyFill="1"/>
    <xf numFmtId="0" fontId="2" fillId="2" borderId="0" xfId="0" applyFont="1" applyFill="1" applyAlignment="1">
      <alignment wrapText="1"/>
    </xf>
    <xf numFmtId="0" fontId="0" fillId="0" borderId="0" xfId="0" applyAlignment="1"/>
    <xf numFmtId="0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indent="1"/>
    </xf>
    <xf numFmtId="3" fontId="0" fillId="0" borderId="0" xfId="0" applyNumberFormat="1"/>
    <xf numFmtId="165" fontId="0" fillId="0" borderId="0" xfId="0" applyNumberFormat="1"/>
    <xf numFmtId="0" fontId="0" fillId="0" borderId="0" xfId="0"/>
    <xf numFmtId="167" fontId="0" fillId="0" borderId="0" xfId="0" applyNumberFormat="1"/>
    <xf numFmtId="3" fontId="0" fillId="0" borderId="0" xfId="0" applyNumberFormat="1"/>
    <xf numFmtId="165" fontId="0" fillId="0" borderId="0" xfId="0" applyNumberFormat="1"/>
    <xf numFmtId="0" fontId="15" fillId="8" borderId="2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2" borderId="2" xfId="0" applyFont="1" applyFill="1" applyBorder="1"/>
    <xf numFmtId="166" fontId="5" fillId="8" borderId="0" xfId="1" applyNumberFormat="1" applyFont="1" applyFill="1" applyBorder="1" applyAlignment="1">
      <alignment horizontal="right"/>
    </xf>
    <xf numFmtId="169" fontId="5" fillId="8" borderId="0" xfId="0" applyNumberFormat="1" applyFont="1" applyFill="1" applyBorder="1"/>
    <xf numFmtId="0" fontId="0" fillId="0" borderId="0" xfId="0" applyBorder="1"/>
    <xf numFmtId="0" fontId="17" fillId="0" borderId="0" xfId="0" applyFont="1"/>
    <xf numFmtId="10" fontId="14" fillId="7" borderId="3" xfId="6" applyNumberFormat="1" applyBorder="1"/>
    <xf numFmtId="0" fontId="18" fillId="0" borderId="0" xfId="0" applyFont="1"/>
    <xf numFmtId="10" fontId="5" fillId="0" borderId="3" xfId="1" applyNumberFormat="1" applyFont="1" applyBorder="1" applyAlignment="1">
      <alignment horizontal="right"/>
    </xf>
    <xf numFmtId="166" fontId="20" fillId="0" borderId="3" xfId="1" applyNumberFormat="1" applyFont="1" applyBorder="1" applyAlignment="1">
      <alignment horizontal="center"/>
    </xf>
    <xf numFmtId="166" fontId="19" fillId="0" borderId="3" xfId="1" applyNumberFormat="1" applyFont="1" applyBorder="1" applyAlignment="1">
      <alignment horizontal="center"/>
    </xf>
    <xf numFmtId="10" fontId="13" fillId="6" borderId="3" xfId="5" applyNumberFormat="1" applyBorder="1"/>
    <xf numFmtId="166" fontId="20" fillId="0" borderId="3" xfId="1" applyNumberFormat="1" applyFont="1" applyBorder="1" applyAlignment="1">
      <alignment horizontal="left"/>
    </xf>
    <xf numFmtId="166" fontId="19" fillId="0" borderId="3" xfId="1" applyNumberFormat="1" applyFont="1" applyBorder="1" applyAlignment="1">
      <alignment horizontal="left"/>
    </xf>
    <xf numFmtId="9" fontId="13" fillId="0" borderId="3" xfId="5" applyNumberFormat="1" applyFill="1" applyBorder="1"/>
    <xf numFmtId="0" fontId="21" fillId="5" borderId="0" xfId="0" applyFont="1" applyFill="1" applyAlignment="1">
      <alignment horizontal="center" vertical="center"/>
    </xf>
    <xf numFmtId="0" fontId="0" fillId="5" borderId="0" xfId="0" applyFill="1"/>
    <xf numFmtId="0" fontId="16" fillId="0" borderId="0" xfId="0" applyFont="1" applyFill="1" applyBorder="1"/>
    <xf numFmtId="166" fontId="5" fillId="0" borderId="0" xfId="0" applyNumberFormat="1" applyFont="1" applyBorder="1"/>
    <xf numFmtId="0" fontId="22" fillId="2" borderId="3" xfId="0" applyFont="1" applyFill="1" applyBorder="1" applyAlignment="1">
      <alignment wrapText="1"/>
    </xf>
    <xf numFmtId="0" fontId="22" fillId="2" borderId="0" xfId="0" applyFont="1" applyFill="1"/>
    <xf numFmtId="0" fontId="22" fillId="2" borderId="3" xfId="0" applyFont="1" applyFill="1" applyBorder="1"/>
    <xf numFmtId="166" fontId="23" fillId="0" borderId="3" xfId="1" applyNumberFormat="1" applyFont="1" applyBorder="1" applyAlignment="1">
      <alignment horizontal="right"/>
    </xf>
    <xf numFmtId="166" fontId="23" fillId="0" borderId="3" xfId="0" applyNumberFormat="1" applyFont="1" applyBorder="1"/>
    <xf numFmtId="0" fontId="22" fillId="2" borderId="6" xfId="0" applyFont="1" applyFill="1" applyBorder="1"/>
    <xf numFmtId="166" fontId="23" fillId="0" borderId="6" xfId="0" applyNumberFormat="1" applyFont="1" applyBorder="1"/>
    <xf numFmtId="0" fontId="23" fillId="2" borderId="3" xfId="0" applyFont="1" applyFill="1" applyBorder="1"/>
    <xf numFmtId="10" fontId="23" fillId="2" borderId="3" xfId="5" applyNumberFormat="1" applyFont="1" applyFill="1" applyBorder="1"/>
    <xf numFmtId="10" fontId="24" fillId="6" borderId="3" xfId="5" applyNumberFormat="1" applyFont="1" applyBorder="1"/>
    <xf numFmtId="10" fontId="24" fillId="0" borderId="3" xfId="5" applyNumberFormat="1" applyFont="1" applyFill="1" applyBorder="1"/>
    <xf numFmtId="10" fontId="23" fillId="2" borderId="3" xfId="0" applyNumberFormat="1" applyFont="1" applyFill="1" applyBorder="1"/>
    <xf numFmtId="10" fontId="23" fillId="0" borderId="3" xfId="0" applyNumberFormat="1" applyFont="1" applyBorder="1"/>
    <xf numFmtId="10" fontId="23" fillId="0" borderId="3" xfId="4" applyNumberFormat="1" applyFont="1" applyBorder="1"/>
    <xf numFmtId="9" fontId="23" fillId="0" borderId="3" xfId="4" applyFont="1" applyBorder="1"/>
    <xf numFmtId="10" fontId="23" fillId="2" borderId="3" xfId="1" applyNumberFormat="1" applyFont="1" applyFill="1" applyBorder="1" applyAlignment="1">
      <alignment horizontal="right"/>
    </xf>
    <xf numFmtId="10" fontId="23" fillId="0" borderId="3" xfId="1" applyNumberFormat="1" applyFont="1" applyBorder="1" applyAlignment="1">
      <alignment horizontal="right"/>
    </xf>
    <xf numFmtId="10" fontId="23" fillId="0" borderId="3" xfId="4" applyNumberFormat="1" applyFont="1" applyBorder="1" applyAlignment="1">
      <alignment horizontal="right"/>
    </xf>
    <xf numFmtId="9" fontId="23" fillId="0" borderId="3" xfId="4" applyFont="1" applyBorder="1" applyAlignment="1">
      <alignment horizontal="right"/>
    </xf>
    <xf numFmtId="170" fontId="23" fillId="0" borderId="3" xfId="1" applyNumberFormat="1" applyFont="1" applyBorder="1" applyAlignment="1">
      <alignment horizontal="right"/>
    </xf>
    <xf numFmtId="170" fontId="23" fillId="0" borderId="3" xfId="0" applyNumberFormat="1" applyFont="1" applyBorder="1"/>
    <xf numFmtId="0" fontId="22" fillId="2" borderId="3" xfId="0" applyFont="1" applyFill="1" applyBorder="1" applyAlignment="1">
      <alignment vertical="top" wrapText="1"/>
    </xf>
    <xf numFmtId="0" fontId="21" fillId="5" borderId="0" xfId="0" applyFont="1" applyFill="1" applyAlignment="1">
      <alignment horizontal="center" vertical="top"/>
    </xf>
    <xf numFmtId="0" fontId="22" fillId="2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23" fillId="0" borderId="2" xfId="0" applyFont="1" applyFill="1" applyBorder="1" applyAlignment="1"/>
    <xf numFmtId="0" fontId="23" fillId="0" borderId="2" xfId="0" applyFont="1" applyBorder="1" applyAlignment="1"/>
    <xf numFmtId="0" fontId="23" fillId="0" borderId="6" xfId="0" applyFont="1" applyBorder="1" applyAlignment="1"/>
    <xf numFmtId="0" fontId="23" fillId="0" borderId="7" xfId="0" applyFont="1" applyBorder="1" applyAlignment="1"/>
    <xf numFmtId="0" fontId="23" fillId="0" borderId="5" xfId="0" applyFont="1" applyBorder="1" applyAlignment="1"/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5" borderId="0" xfId="0" applyFill="1" applyAlignment="1">
      <alignment horizontal="left" vertical="top" wrapText="1"/>
    </xf>
  </cellXfs>
  <cellStyles count="7">
    <cellStyle name="Bad" xfId="6" builtinId="27"/>
    <cellStyle name="Comma" xfId="1" builtinId="3"/>
    <cellStyle name="Good" xfId="5" builtinId="26"/>
    <cellStyle name="Hyperlink" xfId="2" builtinId="8"/>
    <cellStyle name="Normal" xfId="0" builtinId="0"/>
    <cellStyle name="Normal 2" xfId="3" xr:uid="{19B4D652-64D0-42B5-B822-C594C93B0E30}"/>
    <cellStyle name="Percent" xfId="4" builtinId="5"/>
  </cellStyles>
  <dxfs count="10"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7CE"/>
      <color rgb="FF949494"/>
      <color rgb="FF6E548D"/>
      <color rgb="FFD97D31"/>
      <color rgb="FFC0504D"/>
      <color rgb="FF809F4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Total Annual EV Load (All Tariffs) - Energy (kWh)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5447720197766"/>
          <c:y val="9.5844152188751225E-2"/>
          <c:w val="0.79620346894048821"/>
          <c:h val="0.75490980262481744"/>
        </c:manualLayout>
      </c:layout>
      <c:lineChart>
        <c:grouping val="standard"/>
        <c:varyColors val="0"/>
        <c:ser>
          <c:idx val="3"/>
          <c:order val="0"/>
          <c:tx>
            <c:strRef>
              <c:f>'07b_ev_load_kwh'!$E$59</c:f>
              <c:strCache>
                <c:ptCount val="1"/>
                <c:pt idx="0">
                  <c:v>Total Peak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'07b_ev_load_kwh'!b_Total_Load_Year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'07b_ev_load_kwh'!b_Total_Annual_Peak</c:f>
              <c:numCache>
                <c:formatCode>_(* #,##0_);_(* \(#,##0\);_(* "-"??_);_(@_)</c:formatCode>
                <c:ptCount val="10"/>
                <c:pt idx="0">
                  <c:v>2336</c:v>
                </c:pt>
                <c:pt idx="1">
                  <c:v>25527</c:v>
                </c:pt>
                <c:pt idx="2">
                  <c:v>21083.7</c:v>
                </c:pt>
                <c:pt idx="3">
                  <c:v>44409</c:v>
                </c:pt>
                <c:pt idx="4">
                  <c:v>106246</c:v>
                </c:pt>
                <c:pt idx="5">
                  <c:v>108294</c:v>
                </c:pt>
                <c:pt idx="6">
                  <c:v>124064</c:v>
                </c:pt>
                <c:pt idx="7">
                  <c:v>130349</c:v>
                </c:pt>
                <c:pt idx="8">
                  <c:v>256441</c:v>
                </c:pt>
                <c:pt idx="9">
                  <c:v>269343.89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73-494D-A1F2-A5560914B5DE}"/>
            </c:ext>
          </c:extLst>
        </c:ser>
        <c:ser>
          <c:idx val="4"/>
          <c:order val="1"/>
          <c:tx>
            <c:strRef>
              <c:f>'07b_ev_load_kwh'!$E$60</c:f>
              <c:strCache>
                <c:ptCount val="1"/>
                <c:pt idx="0">
                  <c:v> Off peak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'07b_ev_load_kwh'!b_Total_Load_Year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'07b_ev_load_kwh'!b_Total_Annual_Off_peak</c:f>
              <c:numCache>
                <c:formatCode>_(* #,##0_);_(* \(#,##0\);_(* "-"??_);_(@_)</c:formatCode>
                <c:ptCount val="10"/>
                <c:pt idx="0">
                  <c:v>1844</c:v>
                </c:pt>
                <c:pt idx="1">
                  <c:v>19900</c:v>
                </c:pt>
                <c:pt idx="2">
                  <c:v>17984.8</c:v>
                </c:pt>
                <c:pt idx="3">
                  <c:v>39172</c:v>
                </c:pt>
                <c:pt idx="4">
                  <c:v>95523</c:v>
                </c:pt>
                <c:pt idx="5">
                  <c:v>93113</c:v>
                </c:pt>
                <c:pt idx="6">
                  <c:v>161529</c:v>
                </c:pt>
                <c:pt idx="7">
                  <c:v>117804</c:v>
                </c:pt>
                <c:pt idx="8">
                  <c:v>230731</c:v>
                </c:pt>
                <c:pt idx="9">
                  <c:v>883594.69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73-494D-A1F2-A5560914B5DE}"/>
            </c:ext>
          </c:extLst>
        </c:ser>
        <c:ser>
          <c:idx val="5"/>
          <c:order val="2"/>
          <c:tx>
            <c:strRef>
              <c:f>'07b_ev_load_kwh'!$E$61</c:f>
              <c:strCache>
                <c:ptCount val="1"/>
                <c:pt idx="0">
                  <c:v> Daytime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'07b_ev_load_kwh'!b_Total_Load_Year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'07b_ev_load_kwh'!b_Total_Annual_Daytime</c:f>
              <c:numCache>
                <c:formatCode>_(* #,##0_);_(* \(#,##0\);_(* "-"??_);_(@_)</c:formatCode>
                <c:ptCount val="10"/>
                <c:pt idx="0">
                  <c:v>7143</c:v>
                </c:pt>
                <c:pt idx="1">
                  <c:v>92555</c:v>
                </c:pt>
                <c:pt idx="2">
                  <c:v>85017.8</c:v>
                </c:pt>
                <c:pt idx="3">
                  <c:v>166174</c:v>
                </c:pt>
                <c:pt idx="4">
                  <c:v>275958</c:v>
                </c:pt>
                <c:pt idx="5">
                  <c:v>302179</c:v>
                </c:pt>
                <c:pt idx="6">
                  <c:v>320834</c:v>
                </c:pt>
                <c:pt idx="7">
                  <c:v>304871</c:v>
                </c:pt>
                <c:pt idx="8">
                  <c:v>569416</c:v>
                </c:pt>
                <c:pt idx="9">
                  <c:v>751029.18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73-494D-A1F2-A5560914B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975480"/>
        <c:axId val="674973840"/>
      </c:lineChart>
      <c:catAx>
        <c:axId val="6749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3840"/>
        <c:crossesAt val="0"/>
        <c:auto val="1"/>
        <c:lblAlgn val="ctr"/>
        <c:lblOffset val="100"/>
        <c:noMultiLvlLbl val="0"/>
      </c:catAx>
      <c:valAx>
        <c:axId val="6749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kWh</a:t>
                </a:r>
              </a:p>
            </c:rich>
          </c:tx>
          <c:layout>
            <c:manualLayout>
              <c:xMode val="edge"/>
              <c:yMode val="edge"/>
              <c:x val="1.9985849913348751E-2"/>
              <c:y val="0.34549972887650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7333639765547E-2"/>
          <c:y val="0.90081776129903024"/>
          <c:w val="0.86258757743041492"/>
          <c:h val="7.2040746820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400"/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Measured EV Load (Demand) </a:t>
            </a:r>
          </a:p>
        </c:rich>
      </c:tx>
      <c:layout>
        <c:manualLayout>
          <c:xMode val="edge"/>
          <c:yMode val="edge"/>
          <c:x val="0.36271139036417399"/>
          <c:y val="1.3973780048100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349374992509495E-2"/>
          <c:y val="0.11623863183985965"/>
          <c:w val="0.8611439195100612"/>
          <c:h val="0.72167162285939812"/>
        </c:manualLayout>
      </c:layout>
      <c:lineChart>
        <c:grouping val="standard"/>
        <c:varyColors val="0"/>
        <c:ser>
          <c:idx val="3"/>
          <c:order val="0"/>
          <c:tx>
            <c:strRef>
              <c:f>'07c_ev_load_demand_kw'!$E$3</c:f>
              <c:strCache>
                <c:ptCount val="1"/>
              </c:strCache>
            </c:strRef>
          </c:tx>
          <c:cat>
            <c:numRef>
              <c:f>'07c_ev_load_demand_kw'!$D$4:$D$27</c:f>
              <c:numCache>
                <c:formatCode>General</c:formatCode>
                <c:ptCount val="24"/>
              </c:numCache>
            </c:numRef>
          </c:cat>
          <c:val>
            <c:numRef>
              <c:f>'07c_ev_load_demand_kw'!$E$4:$E$27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D0-4388-B9AA-50E47CE3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8816"/>
        <c:axId val="142100736"/>
      </c:lineChart>
      <c:catAx>
        <c:axId val="1420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100736"/>
        <c:crosses val="autoZero"/>
        <c:auto val="1"/>
        <c:lblAlgn val="ctr"/>
        <c:lblOffset val="100"/>
        <c:noMultiLvlLbl val="0"/>
      </c:catAx>
      <c:valAx>
        <c:axId val="14210073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420988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 Total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EV</a:t>
            </a:r>
            <a:r>
              <a:rPr lang="en-US"/>
              <a:t> Load (kWh)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'07d_estimate_total_ev_load_kwh'!$A$18:$C$18</c:f>
              <c:strCache>
                <c:ptCount val="3"/>
                <c:pt idx="0">
                  <c:v>Oʻahu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cat>
            <c:numRef>
              <c:f>'07d_estimate_total_ev_load_kwh'!d_Year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'07d_estimate_total_ev_load_kwh'!d_Oahu</c:f>
              <c:numCache>
                <c:formatCode>#,##0</c:formatCode>
                <c:ptCount val="10"/>
                <c:pt idx="0">
                  <c:v>4323573.72</c:v>
                </c:pt>
                <c:pt idx="1">
                  <c:v>5448992.1399999997</c:v>
                </c:pt>
                <c:pt idx="2">
                  <c:v>8147543.6899999995</c:v>
                </c:pt>
                <c:pt idx="3">
                  <c:v>10722322.470000001</c:v>
                </c:pt>
                <c:pt idx="4">
                  <c:v>14046444.720000001</c:v>
                </c:pt>
                <c:pt idx="5">
                  <c:v>17678868.48</c:v>
                </c:pt>
                <c:pt idx="6">
                  <c:v>19730097.379999999</c:v>
                </c:pt>
                <c:pt idx="7">
                  <c:v>28482636.809999999</c:v>
                </c:pt>
                <c:pt idx="8">
                  <c:v>37641721.799999997</c:v>
                </c:pt>
                <c:pt idx="9">
                  <c:v>47230306.479999997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F-4A34-A96E-C3F23516DA69}"/>
            </c:ext>
          </c:extLst>
        </c:ser>
        <c:ser>
          <c:idx val="1"/>
          <c:order val="1"/>
          <c:tx>
            <c:strRef>
              <c:f>'07d_estimate_total_ev_load_kwh'!$A$19:$C$19</c:f>
              <c:strCache>
                <c:ptCount val="3"/>
                <c:pt idx="0">
                  <c:v>Maui</c:v>
                </c:pt>
              </c:strCache>
            </c:strRef>
          </c:tx>
          <c:spPr>
            <a:ln w="28575" cap="rnd">
              <a:solidFill>
                <a:srgbClr val="809F41"/>
              </a:solidFill>
              <a:round/>
            </a:ln>
            <a:effectLst/>
          </c:spPr>
          <c:marker>
            <c:symbol val="none"/>
          </c:marker>
          <c:cat>
            <c:numRef>
              <c:f>'07d_estimate_total_ev_load_kwh'!d_Year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'07d_estimate_total_ev_load_kwh'!d_Maui</c:f>
              <c:numCache>
                <c:formatCode>#,##0</c:formatCode>
                <c:ptCount val="10"/>
                <c:pt idx="0">
                  <c:v>961744</c:v>
                </c:pt>
                <c:pt idx="1">
                  <c:v>1494537.9</c:v>
                </c:pt>
                <c:pt idx="2">
                  <c:v>1828065.04</c:v>
                </c:pt>
                <c:pt idx="3">
                  <c:v>2108499.7200000002</c:v>
                </c:pt>
                <c:pt idx="4">
                  <c:v>2523558.7200000002</c:v>
                </c:pt>
                <c:pt idx="5">
                  <c:v>2889957.95</c:v>
                </c:pt>
                <c:pt idx="6">
                  <c:v>3420247.36</c:v>
                </c:pt>
                <c:pt idx="7">
                  <c:v>4390153.04</c:v>
                </c:pt>
                <c:pt idx="8">
                  <c:v>5616996.6399999997</c:v>
                </c:pt>
                <c:pt idx="9">
                  <c:v>7256208.75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F-4A34-A96E-C3F23516DA69}"/>
            </c:ext>
          </c:extLst>
        </c:ser>
        <c:ser>
          <c:idx val="2"/>
          <c:order val="2"/>
          <c:tx>
            <c:strRef>
              <c:f>'07d_estimate_total_ev_load_kwh'!$A$20:$C$20</c:f>
              <c:strCache>
                <c:ptCount val="3"/>
                <c:pt idx="0">
                  <c:v>Hawaiʻi Island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cat>
            <c:numRef>
              <c:f>'07d_estimate_total_ev_load_kwh'!d_Year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'07d_estimate_total_ev_load_kwh'!d_Hawaii_Island</c:f>
              <c:numCache>
                <c:formatCode>#,##0</c:formatCode>
                <c:ptCount val="10"/>
                <c:pt idx="0">
                  <c:v>309976.44</c:v>
                </c:pt>
                <c:pt idx="1">
                  <c:v>397315.84000000003</c:v>
                </c:pt>
                <c:pt idx="2">
                  <c:v>530050.4</c:v>
                </c:pt>
                <c:pt idx="3">
                  <c:v>725434.1</c:v>
                </c:pt>
                <c:pt idx="4">
                  <c:v>1052667</c:v>
                </c:pt>
                <c:pt idx="5">
                  <c:v>1368608.15</c:v>
                </c:pt>
                <c:pt idx="6">
                  <c:v>1816976.96</c:v>
                </c:pt>
                <c:pt idx="7">
                  <c:v>2707695</c:v>
                </c:pt>
                <c:pt idx="8">
                  <c:v>3739242.32</c:v>
                </c:pt>
                <c:pt idx="9">
                  <c:v>5363691.92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F-4A34-A96E-C3F23516DA69}"/>
            </c:ext>
          </c:extLst>
        </c:ser>
        <c:ser>
          <c:idx val="3"/>
          <c:order val="3"/>
          <c:tx>
            <c:strRef>
              <c:f>'07d_estimate_total_ev_load_kwh'!$A$21:$C$21</c:f>
              <c:strCache>
                <c:ptCount val="3"/>
                <c:pt idx="0">
                  <c:v>Lāna‘i</c:v>
                </c:pt>
              </c:strCache>
            </c:strRef>
          </c:tx>
          <c:spPr>
            <a:ln w="28575" cap="rnd">
              <a:solidFill>
                <a:srgbClr val="D97D31"/>
              </a:solidFill>
              <a:round/>
            </a:ln>
            <a:effectLst/>
          </c:spPr>
          <c:marker>
            <c:symbol val="none"/>
          </c:marker>
          <c:cat>
            <c:numRef>
              <c:f>'07d_estimate_total_ev_load_kwh'!d_Year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'07d_estimate_total_ev_load_kwh'!d_Lanai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4F-4A34-A96E-C3F23516DA69}"/>
            </c:ext>
          </c:extLst>
        </c:ser>
        <c:ser>
          <c:idx val="4"/>
          <c:order val="4"/>
          <c:tx>
            <c:strRef>
              <c:f>'07d_estimate_total_ev_load_kwh'!$A$22:$C$22</c:f>
              <c:strCache>
                <c:ptCount val="3"/>
                <c:pt idx="0">
                  <c:v>Molokaʻi</c:v>
                </c:pt>
              </c:strCache>
            </c:strRef>
          </c:tx>
          <c:spPr>
            <a:ln w="28575" cap="rnd">
              <a:solidFill>
                <a:srgbClr val="6E548D"/>
              </a:solidFill>
              <a:round/>
            </a:ln>
            <a:effectLst/>
          </c:spPr>
          <c:marker>
            <c:symbol val="none"/>
          </c:marker>
          <c:cat>
            <c:numRef>
              <c:f>'07d_estimate_total_ev_load_kwh'!d_Year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'07d_estimate_total_ev_load_kwh'!d_Molokai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4F-4A34-A96E-C3F23516DA69}"/>
            </c:ext>
          </c:extLst>
        </c:ser>
        <c:ser>
          <c:idx val="5"/>
          <c:order val="5"/>
          <c:tx>
            <c:strRef>
              <c:f>'07d_estimate_total_ev_load_kwh'!$A$23:$C$23</c:f>
              <c:strCache>
                <c:ptCount val="3"/>
                <c:pt idx="0">
                  <c:v>Total </c:v>
                </c:pt>
              </c:strCache>
            </c:strRef>
          </c:tx>
          <c:spPr>
            <a:ln w="28575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cat>
            <c:numRef>
              <c:f>'07d_estimate_total_ev_load_kwh'!d_Year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'07d_estimate_total_ev_load_kwh'!d_Total</c:f>
              <c:numCache>
                <c:formatCode>#,##0</c:formatCode>
                <c:ptCount val="10"/>
                <c:pt idx="0">
                  <c:v>5595294.1600000001</c:v>
                </c:pt>
                <c:pt idx="1">
                  <c:v>7340845.879999999</c:v>
                </c:pt>
                <c:pt idx="2">
                  <c:v>10505659.130000001</c:v>
                </c:pt>
                <c:pt idx="3">
                  <c:v>13556256.290000001</c:v>
                </c:pt>
                <c:pt idx="4">
                  <c:v>17622670.440000001</c:v>
                </c:pt>
                <c:pt idx="5">
                  <c:v>21937434.579999998</c:v>
                </c:pt>
                <c:pt idx="6">
                  <c:v>24967321.699999999</c:v>
                </c:pt>
                <c:pt idx="7">
                  <c:v>35580484.849999994</c:v>
                </c:pt>
                <c:pt idx="8">
                  <c:v>46997960.759999998</c:v>
                </c:pt>
                <c:pt idx="9">
                  <c:v>59850207.149999999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4F-4A34-A96E-C3F23516DA69}"/>
            </c:ext>
          </c:extLst>
        </c:ser>
        <c:ser>
          <c:idx val="6"/>
          <c:order val="6"/>
          <c:tx>
            <c:strRef>
              <c:f>'07d_estimate_total_ev_load_kwh'!$A$25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square"/>
              <c:size val="6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AF4F-4A34-A96E-C3F23516DA69}"/>
              </c:ext>
            </c:extLst>
          </c:dPt>
          <c:dPt>
            <c:idx val="1"/>
            <c:marker>
              <c:symbol val="square"/>
              <c:size val="6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AF4F-4A34-A96E-C3F23516DA69}"/>
              </c:ext>
            </c:extLst>
          </c:dPt>
          <c:dPt>
            <c:idx val="2"/>
            <c:marker>
              <c:symbol val="square"/>
              <c:size val="6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AF4F-4A34-A96E-C3F23516DA69}"/>
              </c:ext>
            </c:extLst>
          </c:dPt>
          <c:dPt>
            <c:idx val="3"/>
            <c:marker>
              <c:symbol val="square"/>
              <c:size val="6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AF4F-4A34-A96E-C3F23516DA69}"/>
              </c:ext>
            </c:extLst>
          </c:dPt>
          <c:dPt>
            <c:idx val="4"/>
            <c:marker>
              <c:symbol val="square"/>
              <c:size val="6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AF4F-4A34-A96E-C3F23516DA69}"/>
              </c:ext>
            </c:extLst>
          </c:dPt>
          <c:dPt>
            <c:idx val="5"/>
            <c:marker>
              <c:symbol val="square"/>
              <c:size val="6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AF4F-4A34-A96E-C3F23516DA69}"/>
              </c:ext>
            </c:extLst>
          </c:dPt>
          <c:cat>
            <c:numRef>
              <c:f>'07d_estimate_total_ev_load_kwh'!d_Year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'07d_estimate_total_ev_load_kwh'!d_TARGET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_);_(* \(#,##0\);_(* &quot;-&quot;??_);_(@_)">
                  <c:v>30707555.501967799</c:v>
                </c:pt>
                <c:pt idx="7" formatCode="_(* #,##0_);_(* \(#,##0\);_(* &quot;-&quot;??_);_(@_)">
                  <c:v>35378656.716192402</c:v>
                </c:pt>
                <c:pt idx="8" formatCode="_(* #,##0_);_(* \(#,##0\);_(* &quot;-&quot;??_);_(@_)">
                  <c:v>41249220.250888698</c:v>
                </c:pt>
                <c:pt idx="9" formatCode="_(* #,##0_);_(* \(#,##0\);_(* &quot;-&quot;??_);_(@_)">
                  <c:v>50235475.480644807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F4F-4A34-A96E-C3F23516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2492648"/>
        <c:axId val="492495272"/>
      </c:lineChart>
      <c:catAx>
        <c:axId val="49249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95272"/>
        <c:crosses val="autoZero"/>
        <c:auto val="1"/>
        <c:lblAlgn val="ctr"/>
        <c:lblOffset val="100"/>
        <c:noMultiLvlLbl val="0"/>
      </c:catAx>
      <c:valAx>
        <c:axId val="49249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49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</a:t>
            </a: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Light-Duty</a:t>
            </a:r>
            <a:r>
              <a:rPr lang="en-US" baseline="0"/>
              <a:t>, Passenger EVs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'07e_ev_count'!$A$19</c:f>
              <c:strCache>
                <c:ptCount val="1"/>
                <c:pt idx="0">
                  <c:v>O‘ahu</c:v>
                </c:pt>
              </c:strCache>
            </c:strRef>
          </c:tx>
          <c:spPr>
            <a:ln w="28575" cap="rnd">
              <a:solidFill>
                <a:srgbClr val="4F81BD"/>
              </a:solidFill>
              <a:round/>
            </a:ln>
            <a:effectLst/>
          </c:spPr>
          <c:marker>
            <c:symbol val="none"/>
          </c:marker>
          <c:cat>
            <c:numRef>
              <c:f>'07e_ev_count'!e_Total_Year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'07e_ev_count'!e_Total_Oahu</c:f>
              <c:numCache>
                <c:formatCode>#,##0</c:formatCode>
                <c:ptCount val="10"/>
                <c:pt idx="0">
                  <c:v>1602</c:v>
                </c:pt>
                <c:pt idx="1">
                  <c:v>2318</c:v>
                </c:pt>
                <c:pt idx="2">
                  <c:v>3013</c:v>
                </c:pt>
                <c:pt idx="3">
                  <c:v>3957</c:v>
                </c:pt>
                <c:pt idx="4">
                  <c:v>5201</c:v>
                </c:pt>
                <c:pt idx="5">
                  <c:v>6552</c:v>
                </c:pt>
                <c:pt idx="6">
                  <c:v>7283</c:v>
                </c:pt>
                <c:pt idx="7">
                  <c:v>10539</c:v>
                </c:pt>
                <c:pt idx="8" formatCode="General">
                  <c:v>13930</c:v>
                </c:pt>
                <c:pt idx="9">
                  <c:v>17168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3-41AE-A795-D1DA3D76C99E}"/>
            </c:ext>
          </c:extLst>
        </c:ser>
        <c:ser>
          <c:idx val="1"/>
          <c:order val="1"/>
          <c:tx>
            <c:strRef>
              <c:f>'07e_ev_count'!$A$20</c:f>
              <c:strCache>
                <c:ptCount val="1"/>
                <c:pt idx="0">
                  <c:v>Maui</c:v>
                </c:pt>
              </c:strCache>
            </c:strRef>
          </c:tx>
          <c:spPr>
            <a:ln w="28575" cap="rnd">
              <a:solidFill>
                <a:srgbClr val="809F41"/>
              </a:solidFill>
              <a:round/>
            </a:ln>
            <a:effectLst/>
          </c:spPr>
          <c:marker>
            <c:symbol val="none"/>
          </c:marker>
          <c:cat>
            <c:numRef>
              <c:f>'07e_ev_count'!e_Total_Year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'07e_ev_count'!e_Total_Maui</c:f>
              <c:numCache>
                <c:formatCode>#,##0</c:formatCode>
                <c:ptCount val="10"/>
                <c:pt idx="0">
                  <c:v>350</c:v>
                </c:pt>
                <c:pt idx="1">
                  <c:v>593</c:v>
                </c:pt>
                <c:pt idx="2">
                  <c:v>664</c:v>
                </c:pt>
                <c:pt idx="3">
                  <c:v>762</c:v>
                </c:pt>
                <c:pt idx="4">
                  <c:v>912</c:v>
                </c:pt>
                <c:pt idx="5">
                  <c:v>1045</c:v>
                </c:pt>
                <c:pt idx="6">
                  <c:v>1238</c:v>
                </c:pt>
                <c:pt idx="7">
                  <c:v>1588</c:v>
                </c:pt>
                <c:pt idx="8" formatCode="General">
                  <c:v>2032</c:v>
                </c:pt>
                <c:pt idx="9" formatCode="#,##0;\(#,##0\);\ &quot;-&quot;;_(@_)">
                  <c:v>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3-41AE-A795-D1DA3D76C99E}"/>
            </c:ext>
          </c:extLst>
        </c:ser>
        <c:ser>
          <c:idx val="2"/>
          <c:order val="2"/>
          <c:tx>
            <c:strRef>
              <c:f>'07e_ev_count'!$A$21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 cap="rnd">
              <a:solidFill>
                <a:srgbClr val="C0504D"/>
              </a:solidFill>
              <a:round/>
            </a:ln>
            <a:effectLst/>
          </c:spPr>
          <c:marker>
            <c:symbol val="none"/>
          </c:marker>
          <c:cat>
            <c:numRef>
              <c:f>'07e_ev_count'!e_Total_Year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'07e_ev_count'!e_Total_Hawaii_Island</c:f>
              <c:numCache>
                <c:formatCode>#,##0</c:formatCode>
                <c:ptCount val="10"/>
                <c:pt idx="0">
                  <c:v>103</c:v>
                </c:pt>
                <c:pt idx="1">
                  <c:v>152</c:v>
                </c:pt>
                <c:pt idx="2">
                  <c:v>176</c:v>
                </c:pt>
                <c:pt idx="3">
                  <c:v>241</c:v>
                </c:pt>
                <c:pt idx="4">
                  <c:v>350</c:v>
                </c:pt>
                <c:pt idx="5">
                  <c:v>455</c:v>
                </c:pt>
                <c:pt idx="6">
                  <c:v>604</c:v>
                </c:pt>
                <c:pt idx="7">
                  <c:v>900</c:v>
                </c:pt>
                <c:pt idx="8" formatCode="General">
                  <c:v>1243</c:v>
                </c:pt>
                <c:pt idx="9" formatCode="#,##0;\(#,##0\);&quot;-&quot;">
                  <c:v>1783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3-41AE-A795-D1DA3D76C99E}"/>
            </c:ext>
          </c:extLst>
        </c:ser>
        <c:ser>
          <c:idx val="4"/>
          <c:order val="3"/>
          <c:tx>
            <c:strRef>
              <c:f>'07e_ev_count'!$A$24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949494"/>
              </a:solidFill>
              <a:round/>
            </a:ln>
            <a:effectLst/>
          </c:spPr>
          <c:marker>
            <c:symbol val="none"/>
          </c:marker>
          <c:cat>
            <c:numRef>
              <c:f>'07e_ev_count'!e_Total_Year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'07e_ev_count'!e_Total_All_Island</c:f>
              <c:numCache>
                <c:formatCode>#,##0</c:formatCode>
                <c:ptCount val="10"/>
                <c:pt idx="0">
                  <c:v>2055</c:v>
                </c:pt>
                <c:pt idx="1">
                  <c:v>3063</c:v>
                </c:pt>
                <c:pt idx="2">
                  <c:v>3853</c:v>
                </c:pt>
                <c:pt idx="3">
                  <c:v>4960</c:v>
                </c:pt>
                <c:pt idx="4">
                  <c:v>6463</c:v>
                </c:pt>
                <c:pt idx="5">
                  <c:v>8052</c:v>
                </c:pt>
                <c:pt idx="6">
                  <c:v>9125</c:v>
                </c:pt>
                <c:pt idx="7">
                  <c:v>13027</c:v>
                </c:pt>
                <c:pt idx="8">
                  <c:v>17205</c:v>
                </c:pt>
                <c:pt idx="9">
                  <c:v>21576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13-41AE-A795-D1DA3D76C99E}"/>
            </c:ext>
          </c:extLst>
        </c:ser>
        <c:ser>
          <c:idx val="3"/>
          <c:order val="4"/>
          <c:tx>
            <c:v>Target (IGP Forecast)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'07e_ev_count'!e_Total_Year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'07e_ev_count'!e_Target_All_Island_Total</c:f>
              <c:numCache>
                <c:formatCode>#,##0</c:formatCode>
                <c:ptCount val="10"/>
                <c:pt idx="0">
                  <c:v>2055</c:v>
                </c:pt>
                <c:pt idx="1">
                  <c:v>3064</c:v>
                </c:pt>
                <c:pt idx="2">
                  <c:v>3853</c:v>
                </c:pt>
                <c:pt idx="3">
                  <c:v>4960</c:v>
                </c:pt>
                <c:pt idx="4">
                  <c:v>6463</c:v>
                </c:pt>
                <c:pt idx="5">
                  <c:v>8054</c:v>
                </c:pt>
                <c:pt idx="6">
                  <c:v>9935</c:v>
                </c:pt>
                <c:pt idx="7">
                  <c:v>11363</c:v>
                </c:pt>
                <c:pt idx="8">
                  <c:v>13994</c:v>
                </c:pt>
                <c:pt idx="9">
                  <c:v>17367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13-41AE-A795-D1DA3D76C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7189328"/>
        <c:axId val="677190312"/>
      </c:lineChart>
      <c:catAx>
        <c:axId val="67718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90312"/>
        <c:crosses val="autoZero"/>
        <c:auto val="1"/>
        <c:lblAlgn val="ctr"/>
        <c:lblOffset val="100"/>
        <c:noMultiLvlLbl val="0"/>
      </c:catAx>
      <c:valAx>
        <c:axId val="67719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8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Number of Shared Fueling Hubs for Ride Share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349374992509495E-2"/>
          <c:y val="0.11623863183985965"/>
          <c:w val="0.8611439195100612"/>
          <c:h val="0.72167162285939812"/>
        </c:manualLayout>
      </c:layout>
      <c:lineChart>
        <c:grouping val="standard"/>
        <c:varyColors val="0"/>
        <c:ser>
          <c:idx val="3"/>
          <c:order val="0"/>
          <c:tx>
            <c:strRef>
              <c:f>'07f_rideshare_fueling_hubs'!$A$5:$C$5</c:f>
              <c:strCache>
                <c:ptCount val="3"/>
                <c:pt idx="0">
                  <c:v>Number of shared fueling hubs for Ride Share Only (with stored energy capabilities)</c:v>
                </c:pt>
              </c:strCache>
            </c:strRef>
          </c:tx>
          <c:marker>
            <c:symbol val="diamond"/>
            <c:size val="7"/>
          </c:marker>
          <c:cat>
            <c:numRef>
              <c:f>'07f_rideshare_fueling_hubs'!$D$4:$R$4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'07f_rideshare_fueling_hubs'!$D$5:$R$5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1A-478B-B53D-A174EE13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8816"/>
        <c:axId val="142100736"/>
      </c:lineChart>
      <c:catAx>
        <c:axId val="142098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2100736"/>
        <c:crosses val="autoZero"/>
        <c:auto val="1"/>
        <c:lblAlgn val="ctr"/>
        <c:lblOffset val="100"/>
        <c:noMultiLvlLbl val="0"/>
      </c:catAx>
      <c:valAx>
        <c:axId val="14210073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420988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400"/>
            </a:pPr>
            <a:r>
              <a:rPr lang="en-US" sz="1400" b="0" i="0" u="none" strike="noStrike" baseline="0">
                <a:effectLst/>
              </a:rPr>
              <a:t>Annual EV Load - Energy (kWh) for EV-J </a:t>
            </a:r>
            <a:endParaRPr lang="en-U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30382794727561252"/>
          <c:y val="3.168211265520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349374992509495E-2"/>
          <c:y val="0.11623863183985965"/>
          <c:w val="0.8611439195100612"/>
          <c:h val="0.72167162285939812"/>
        </c:manualLayout>
      </c:layout>
      <c:lineChart>
        <c:grouping val="standard"/>
        <c:varyColors val="0"/>
        <c:ser>
          <c:idx val="3"/>
          <c:order val="0"/>
          <c:tx>
            <c:strRef>
              <c:f>'07c_ev_load_demand_kw'!$E$3</c:f>
              <c:strCache>
                <c:ptCount val="1"/>
              </c:strCache>
            </c:strRef>
          </c:tx>
          <c:cat>
            <c:numRef>
              <c:f>'07c_ev_load_demand_kw'!$D$4:$D$27</c:f>
              <c:numCache>
                <c:formatCode>General</c:formatCode>
                <c:ptCount val="24"/>
              </c:numCache>
            </c:numRef>
          </c:cat>
          <c:val>
            <c:numRef>
              <c:f>'07c_ev_load_demand_kw'!$E$4:$E$27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EB-4D74-B86B-59907B2F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8816"/>
        <c:axId val="142100736"/>
      </c:lineChart>
      <c:catAx>
        <c:axId val="1420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100736"/>
        <c:crosses val="autoZero"/>
        <c:auto val="1"/>
        <c:lblAlgn val="ctr"/>
        <c:lblOffset val="100"/>
        <c:noMultiLvlLbl val="0"/>
      </c:catAx>
      <c:valAx>
        <c:axId val="14210073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420988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>
              <a:defRPr sz="1400"/>
            </a:pPr>
            <a:r>
              <a:rPr lang="en-US" sz="1400" b="0" i="0" baseline="0">
                <a:effectLst/>
              </a:rPr>
              <a:t>Annual EV Load - Energy (kWh) for EV-P</a:t>
            </a:r>
            <a:r>
              <a:rPr lang="en-US" sz="1800" b="0" i="0" baseline="0">
                <a:effectLst/>
              </a:rPr>
              <a:t>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29053168593303408"/>
          <c:y val="2.57793351195045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349374992509495E-2"/>
          <c:y val="0.11623863183985965"/>
          <c:w val="0.8611439195100612"/>
          <c:h val="0.72167162285939812"/>
        </c:manualLayout>
      </c:layout>
      <c:lineChart>
        <c:grouping val="standard"/>
        <c:varyColors val="0"/>
        <c:ser>
          <c:idx val="3"/>
          <c:order val="0"/>
          <c:tx>
            <c:strRef>
              <c:f>'07c_ev_load_demand_kw'!$E$3</c:f>
              <c:strCache>
                <c:ptCount val="1"/>
              </c:strCache>
            </c:strRef>
          </c:tx>
          <c:cat>
            <c:numRef>
              <c:f>'07c_ev_load_demand_kw'!$D$4:$D$27</c:f>
              <c:numCache>
                <c:formatCode>General</c:formatCode>
                <c:ptCount val="24"/>
              </c:numCache>
            </c:numRef>
          </c:cat>
          <c:val>
            <c:numRef>
              <c:f>'07c_ev_load_demand_kw'!$E$4:$E$27</c:f>
              <c:numCache>
                <c:formatCode>General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75-43D0-A2DA-99BAB64D0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8816"/>
        <c:axId val="142100736"/>
      </c:lineChart>
      <c:catAx>
        <c:axId val="1420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2100736"/>
        <c:crosses val="autoZero"/>
        <c:auto val="1"/>
        <c:lblAlgn val="ctr"/>
        <c:lblOffset val="100"/>
        <c:noMultiLvlLbl val="0"/>
      </c:catAx>
      <c:valAx>
        <c:axId val="142100736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4F81BD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n-US"/>
          </a:p>
        </c:txPr>
        <c:crossAx val="14209881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Annual EV Load - Energy (kWh) for EV-U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92228860839631"/>
          <c:y val="0.10594723932364575"/>
          <c:w val="0.80797262245130241"/>
          <c:h val="0.74293385210309038"/>
        </c:manualLayout>
      </c:layout>
      <c:lineChart>
        <c:grouping val="standard"/>
        <c:varyColors val="0"/>
        <c:ser>
          <c:idx val="3"/>
          <c:order val="0"/>
          <c:tx>
            <c:strRef>
              <c:f>'07b_ev_load_kwh'!$E$67</c:f>
              <c:strCache>
                <c:ptCount val="1"/>
                <c:pt idx="0">
                  <c:v>EV-U Peak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'07b_ev_load_kwh'!b_EV_U_Load_Year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'07b_ev_load_kwh'!b_EV_U_Annual_Peak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90.7</c:v>
                </c:pt>
                <c:pt idx="3">
                  <c:v>12721</c:v>
                </c:pt>
                <c:pt idx="4">
                  <c:v>62716</c:v>
                </c:pt>
                <c:pt idx="5">
                  <c:v>65850</c:v>
                </c:pt>
                <c:pt idx="6">
                  <c:v>87900</c:v>
                </c:pt>
                <c:pt idx="7">
                  <c:v>96047</c:v>
                </c:pt>
                <c:pt idx="8">
                  <c:v>197262</c:v>
                </c:pt>
                <c:pt idx="9">
                  <c:v>184249.69999999998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6-4712-A5CB-87EFF2964F96}"/>
            </c:ext>
          </c:extLst>
        </c:ser>
        <c:ser>
          <c:idx val="4"/>
          <c:order val="1"/>
          <c:tx>
            <c:strRef>
              <c:f>'07b_ev_load_kwh'!$E$68</c:f>
              <c:strCache>
                <c:ptCount val="1"/>
                <c:pt idx="0">
                  <c:v> Off peak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'07b_ev_load_kwh'!b_EV_U_Load_Year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'07b_ev_load_kwh'!b_EV_U_Annual_Off_peak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27.8</c:v>
                </c:pt>
                <c:pt idx="3">
                  <c:v>14586</c:v>
                </c:pt>
                <c:pt idx="4">
                  <c:v>55825</c:v>
                </c:pt>
                <c:pt idx="5">
                  <c:v>51146</c:v>
                </c:pt>
                <c:pt idx="6">
                  <c:v>69032</c:v>
                </c:pt>
                <c:pt idx="7">
                  <c:v>76132</c:v>
                </c:pt>
                <c:pt idx="8">
                  <c:v>161592</c:v>
                </c:pt>
                <c:pt idx="9">
                  <c:v>148910.13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6-4712-A5CB-87EFF2964F96}"/>
            </c:ext>
          </c:extLst>
        </c:ser>
        <c:ser>
          <c:idx val="5"/>
          <c:order val="2"/>
          <c:tx>
            <c:strRef>
              <c:f>'07b_ev_load_kwh'!$E$69</c:f>
              <c:strCache>
                <c:ptCount val="1"/>
                <c:pt idx="0">
                  <c:v> Daytime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'07b_ev_load_kwh'!b_EV_U_Load_Year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'07b_ev_load_kwh'!b_EV_U_Annual_Daytime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1576.8</c:v>
                </c:pt>
                <c:pt idx="3">
                  <c:v>42292</c:v>
                </c:pt>
                <c:pt idx="4">
                  <c:v>108077</c:v>
                </c:pt>
                <c:pt idx="5">
                  <c:v>141741</c:v>
                </c:pt>
                <c:pt idx="6">
                  <c:v>194520</c:v>
                </c:pt>
                <c:pt idx="7">
                  <c:v>239837</c:v>
                </c:pt>
                <c:pt idx="8">
                  <c:v>426349</c:v>
                </c:pt>
                <c:pt idx="9">
                  <c:v>399475.62000000005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26-4712-A5CB-87EFF2964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975480"/>
        <c:axId val="674973840"/>
      </c:lineChart>
      <c:catAx>
        <c:axId val="6749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3840"/>
        <c:crossesAt val="0"/>
        <c:auto val="1"/>
        <c:lblAlgn val="ctr"/>
        <c:lblOffset val="100"/>
        <c:noMultiLvlLbl val="0"/>
      </c:catAx>
      <c:valAx>
        <c:axId val="6749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kWh</a:t>
                </a:r>
              </a:p>
            </c:rich>
          </c:tx>
          <c:layout>
            <c:manualLayout>
              <c:xMode val="edge"/>
              <c:yMode val="edge"/>
              <c:x val="1.3261685424467914E-2"/>
              <c:y val="0.34222640360013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48111932801892E-2"/>
          <c:y val="0.90989598890606826"/>
          <c:w val="0.89731709316386221"/>
          <c:h val="7.0359306066235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Annual EV Load - Energy (kWh) for EV-F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976620810197926"/>
          <c:y val="8.2310928151470217E-2"/>
          <c:w val="0.77893981726708417"/>
          <c:h val="0.77324812813460331"/>
        </c:manualLayout>
      </c:layout>
      <c:lineChart>
        <c:grouping val="standard"/>
        <c:varyColors val="0"/>
        <c:ser>
          <c:idx val="3"/>
          <c:order val="0"/>
          <c:tx>
            <c:strRef>
              <c:f>'07b_ev_load_kwh'!$E$75</c:f>
              <c:strCache>
                <c:ptCount val="1"/>
                <c:pt idx="0">
                  <c:v>EV-F Peak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'07b_ev_load_kwh'!b_EV_F_Load_Year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'07b_ev_load_kwh'!b_EV_F_Annual_Peak</c:f>
              <c:numCache>
                <c:formatCode>_(* #,##0_);_(* \(#,##0\);_(* "-"??_);_(@_)</c:formatCode>
                <c:ptCount val="10"/>
                <c:pt idx="0">
                  <c:v>2336</c:v>
                </c:pt>
                <c:pt idx="1">
                  <c:v>25527</c:v>
                </c:pt>
                <c:pt idx="2">
                  <c:v>20993</c:v>
                </c:pt>
                <c:pt idx="3">
                  <c:v>31688</c:v>
                </c:pt>
                <c:pt idx="4">
                  <c:v>43530</c:v>
                </c:pt>
                <c:pt idx="5">
                  <c:v>42444</c:v>
                </c:pt>
                <c:pt idx="6">
                  <c:v>29914</c:v>
                </c:pt>
                <c:pt idx="7">
                  <c:v>18875</c:v>
                </c:pt>
                <c:pt idx="8">
                  <c:v>17093</c:v>
                </c:pt>
                <c:pt idx="9">
                  <c:v>20900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B-41EF-A1E8-D4AF83F67F89}"/>
            </c:ext>
          </c:extLst>
        </c:ser>
        <c:ser>
          <c:idx val="4"/>
          <c:order val="1"/>
          <c:tx>
            <c:strRef>
              <c:f>'07b_ev_load_kwh'!$E$76</c:f>
              <c:strCache>
                <c:ptCount val="1"/>
                <c:pt idx="0">
                  <c:v> Off peak 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'07b_ev_load_kwh'!b_EV_F_Load_Year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'07b_ev_load_kwh'!b_EV_F_Annual_Off_peak</c:f>
              <c:numCache>
                <c:formatCode>_(* #,##0_);_(* \(#,##0\);_(* "-"??_);_(@_)</c:formatCode>
                <c:ptCount val="10"/>
                <c:pt idx="0">
                  <c:v>1844</c:v>
                </c:pt>
                <c:pt idx="1">
                  <c:v>19900</c:v>
                </c:pt>
                <c:pt idx="2">
                  <c:v>17957</c:v>
                </c:pt>
                <c:pt idx="3">
                  <c:v>24586</c:v>
                </c:pt>
                <c:pt idx="4">
                  <c:v>39698</c:v>
                </c:pt>
                <c:pt idx="5">
                  <c:v>41967</c:v>
                </c:pt>
                <c:pt idx="6">
                  <c:v>30297</c:v>
                </c:pt>
                <c:pt idx="7">
                  <c:v>25088</c:v>
                </c:pt>
                <c:pt idx="8">
                  <c:v>16756</c:v>
                </c:pt>
                <c:pt idx="9">
                  <c:v>18896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6B-41EF-A1E8-D4AF83F67F89}"/>
            </c:ext>
          </c:extLst>
        </c:ser>
        <c:ser>
          <c:idx val="5"/>
          <c:order val="2"/>
          <c:tx>
            <c:strRef>
              <c:f>'07b_ev_load_kwh'!$E$77</c:f>
              <c:strCache>
                <c:ptCount val="1"/>
                <c:pt idx="0">
                  <c:v> Daytime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'07b_ev_load_kwh'!b_EV_F_Load_Year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'07b_ev_load_kwh'!b_EV_F_Annual_Daytime</c:f>
              <c:numCache>
                <c:formatCode>_(* #,##0_);_(* \(#,##0\);_(* "-"??_);_(@_)</c:formatCode>
                <c:ptCount val="10"/>
                <c:pt idx="0">
                  <c:v>7143</c:v>
                </c:pt>
                <c:pt idx="1">
                  <c:v>92553</c:v>
                </c:pt>
                <c:pt idx="2">
                  <c:v>83441</c:v>
                </c:pt>
                <c:pt idx="3">
                  <c:v>123882</c:v>
                </c:pt>
                <c:pt idx="4">
                  <c:v>167881</c:v>
                </c:pt>
                <c:pt idx="5">
                  <c:v>160438</c:v>
                </c:pt>
                <c:pt idx="6">
                  <c:v>120464</c:v>
                </c:pt>
                <c:pt idx="7">
                  <c:v>54362</c:v>
                </c:pt>
                <c:pt idx="8">
                  <c:v>29625</c:v>
                </c:pt>
                <c:pt idx="9">
                  <c:v>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6B-41EF-A1E8-D4AF83F67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975480"/>
        <c:axId val="674973840"/>
      </c:lineChart>
      <c:catAx>
        <c:axId val="6749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3840"/>
        <c:crossesAt val="0"/>
        <c:auto val="1"/>
        <c:lblAlgn val="ctr"/>
        <c:lblOffset val="100"/>
        <c:noMultiLvlLbl val="0"/>
      </c:catAx>
      <c:valAx>
        <c:axId val="6749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kWh</a:t>
                </a:r>
              </a:p>
            </c:rich>
          </c:tx>
          <c:layout>
            <c:manualLayout>
              <c:xMode val="edge"/>
              <c:yMode val="edge"/>
              <c:x val="3.7861537382948861E-2"/>
              <c:y val="0.31382513030268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289526213237766E-2"/>
          <c:y val="0.90704896982652794"/>
          <c:w val="0.87997917915057822"/>
          <c:h val="5.981293769685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Annual EV Load - Energy (kWh) for eBus</a:t>
            </a:r>
            <a:endParaRPr lang="en-US"/>
          </a:p>
        </c:rich>
      </c:tx>
      <c:layout>
        <c:manualLayout>
          <c:xMode val="edge"/>
          <c:yMode val="edge"/>
          <c:x val="0.30451206463686037"/>
          <c:y val="1.801080790291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420152275354513"/>
          <c:y val="0.11371719401520726"/>
          <c:w val="0.81921524272566792"/>
          <c:h val="0.73612161976809631"/>
        </c:manualLayout>
      </c:layout>
      <c:lineChart>
        <c:grouping val="standard"/>
        <c:varyColors val="0"/>
        <c:ser>
          <c:idx val="3"/>
          <c:order val="0"/>
          <c:tx>
            <c:strRef>
              <c:f>'07b_ev_load_kwh'!$E$91</c:f>
              <c:strCache>
                <c:ptCount val="1"/>
                <c:pt idx="0">
                  <c:v>eBus Peak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'07b_ev_load_kwh'!b_eBus_Load_Year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'07b_ev_load_kwh'!b_eBus_Annual_Peak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6250</c:v>
                </c:pt>
                <c:pt idx="7">
                  <c:v>14400</c:v>
                </c:pt>
                <c:pt idx="8">
                  <c:v>11317</c:v>
                </c:pt>
                <c:pt idx="9">
                  <c:v>22983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5-43DC-949D-27C53B8AFDDF}"/>
            </c:ext>
          </c:extLst>
        </c:ser>
        <c:ser>
          <c:idx val="4"/>
          <c:order val="1"/>
          <c:tx>
            <c:strRef>
              <c:f>'07b_ev_load_kwh'!$E$92</c:f>
              <c:strCache>
                <c:ptCount val="1"/>
                <c:pt idx="0">
                  <c:v> Off peak 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'07b_ev_load_kwh'!b_eBus_Load_Year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'07b_ev_load_kwh'!b_eBus_Annual_Off_peak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62200</c:v>
                </c:pt>
                <c:pt idx="7">
                  <c:v>13350</c:v>
                </c:pt>
                <c:pt idx="8">
                  <c:v>26110</c:v>
                </c:pt>
                <c:pt idx="9">
                  <c:v>681231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F5-43DC-949D-27C53B8AFDDF}"/>
            </c:ext>
          </c:extLst>
        </c:ser>
        <c:ser>
          <c:idx val="5"/>
          <c:order val="2"/>
          <c:tx>
            <c:strRef>
              <c:f>'07b_ev_load_kwh'!$E$93</c:f>
              <c:strCache>
                <c:ptCount val="1"/>
                <c:pt idx="0">
                  <c:v> Daytime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'07b_ev_load_kwh'!b_eBus_Load_Year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'07b_ev_load_kwh'!b_eBus_Annual_Daytime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5850</c:v>
                </c:pt>
                <c:pt idx="7">
                  <c:v>1800</c:v>
                </c:pt>
                <c:pt idx="8">
                  <c:v>9175</c:v>
                </c:pt>
                <c:pt idx="9">
                  <c:v>192064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F5-43DC-949D-27C53B8A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975480"/>
        <c:axId val="674973840"/>
      </c:lineChart>
      <c:catAx>
        <c:axId val="67497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3840"/>
        <c:crossesAt val="0"/>
        <c:auto val="1"/>
        <c:lblAlgn val="ctr"/>
        <c:lblOffset val="100"/>
        <c:noMultiLvlLbl val="0"/>
      </c:catAx>
      <c:valAx>
        <c:axId val="67497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76288061087793E-2"/>
          <c:y val="0.90149183811435962"/>
          <c:w val="0.92627756585855592"/>
          <c:h val="6.551568212704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</a:t>
            </a:r>
            <a:r>
              <a:rPr lang="en-US" baseline="0"/>
              <a:t> EV</a:t>
            </a:r>
            <a:r>
              <a:rPr lang="en-US"/>
              <a:t> Load - Energy</a:t>
            </a:r>
            <a:r>
              <a:rPr lang="en-US" baseline="0"/>
              <a:t> (kWh) for EV-MAUI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50983663275908"/>
          <c:y val="0.12406756982773039"/>
          <c:w val="0.77324501003190704"/>
          <c:h val="0.73815067575195137"/>
        </c:manualLayout>
      </c:layout>
      <c:lineChart>
        <c:grouping val="standard"/>
        <c:varyColors val="0"/>
        <c:ser>
          <c:idx val="0"/>
          <c:order val="0"/>
          <c:tx>
            <c:strRef>
              <c:f>'07b_ev_load_kwh'!$E$83</c:f>
              <c:strCache>
                <c:ptCount val="1"/>
                <c:pt idx="0">
                  <c:v>EV-MAUI Peak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'07b_ev_load_kwh'!b_EV_MAUI_Load_Year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'07b_ev_load_kwh'!b_EV_MAUI_Annual_Peak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1027</c:v>
                </c:pt>
                <c:pt idx="8">
                  <c:v>30769</c:v>
                </c:pt>
                <c:pt idx="9">
                  <c:v>41211.19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B88-48F8-885B-2AE969F492B3}"/>
            </c:ext>
          </c:extLst>
        </c:ser>
        <c:ser>
          <c:idx val="1"/>
          <c:order val="1"/>
          <c:tx>
            <c:strRef>
              <c:f>'07b_ev_load_kwh'!$E$84</c:f>
              <c:strCache>
                <c:ptCount val="1"/>
                <c:pt idx="0">
                  <c:v> Off peak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'07b_ev_load_kwh'!b_EV_MAUI_Load_Year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'07b_ev_load_kwh'!b_EV_MAUI_Annual_Off_peak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3234</c:v>
                </c:pt>
                <c:pt idx="8">
                  <c:v>26273</c:v>
                </c:pt>
                <c:pt idx="9">
                  <c:v>34557.56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FB88-48F8-885B-2AE969F492B3}"/>
            </c:ext>
          </c:extLst>
        </c:ser>
        <c:ser>
          <c:idx val="2"/>
          <c:order val="2"/>
          <c:tx>
            <c:strRef>
              <c:f>'07b_ev_load_kwh'!$E$85</c:f>
              <c:strCache>
                <c:ptCount val="1"/>
                <c:pt idx="0">
                  <c:v> Daytime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numRef>
              <c:f>'07b_ev_load_kwh'!b_EV_MAUI_Load_Year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'07b_ev_load_kwh'!b_EV_MAUI_Annual_Daytime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8872</c:v>
                </c:pt>
                <c:pt idx="8">
                  <c:v>104267</c:v>
                </c:pt>
                <c:pt idx="9">
                  <c:v>120782.56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FB88-48F8-885B-2AE969F49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52552"/>
        <c:axId val="495756816"/>
      </c:lineChart>
      <c:catAx>
        <c:axId val="49575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756816"/>
        <c:crosses val="autoZero"/>
        <c:auto val="1"/>
        <c:lblAlgn val="ctr"/>
        <c:lblOffset val="100"/>
        <c:noMultiLvlLbl val="0"/>
      </c:catAx>
      <c:valAx>
        <c:axId val="4957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 kWh</a:t>
                </a:r>
              </a:p>
            </c:rich>
          </c:tx>
          <c:layout>
            <c:manualLayout>
              <c:xMode val="edge"/>
              <c:yMode val="edge"/>
              <c:x val="4.6971974909304416E-2"/>
              <c:y val="0.35639197433348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75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92251047322554"/>
          <c:y val="0.91731700097869995"/>
          <c:w val="0.40815494367966909"/>
          <c:h val="3.8892844057142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Target 1: Annual</a:t>
            </a:r>
            <a:r>
              <a:rPr lang="en-US" baseline="0"/>
              <a:t> Change in En</a:t>
            </a:r>
            <a:r>
              <a:rPr lang="en-US"/>
              <a:t>ergy</a:t>
            </a:r>
            <a:r>
              <a:rPr lang="en-US" baseline="0"/>
              <a:t> (kWh) Delivered to EV Charging Stations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0503946005035"/>
          <c:y val="0.13221489921795437"/>
          <c:w val="0.7974776318460316"/>
          <c:h val="0.6599420636825413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'07b_ev_load_kwh'!$E$100</c:f>
              <c:strCache>
                <c:ptCount val="1"/>
                <c:pt idx="0">
                  <c:v> EV-F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'07b_ev_load_kwh'!$M$98:$V$98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'07b_ev_load_kwh'!$M$100:$V$100</c:f>
              <c:numCache>
                <c:formatCode>_(* #,##0_);_(* \(#,##0\);_(* "-"??_);_(@_)</c:formatCode>
                <c:ptCount val="10"/>
                <c:pt idx="0">
                  <c:v>11323</c:v>
                </c:pt>
                <c:pt idx="1">
                  <c:v>126657</c:v>
                </c:pt>
                <c:pt idx="2">
                  <c:v>-15589</c:v>
                </c:pt>
                <c:pt idx="3">
                  <c:v>57765</c:v>
                </c:pt>
                <c:pt idx="4">
                  <c:v>70953</c:v>
                </c:pt>
                <c:pt idx="5">
                  <c:v>-6260</c:v>
                </c:pt>
                <c:pt idx="6">
                  <c:v>-64174</c:v>
                </c:pt>
                <c:pt idx="7">
                  <c:v>-82350</c:v>
                </c:pt>
                <c:pt idx="8">
                  <c:v>-34851</c:v>
                </c:pt>
                <c:pt idx="9">
                  <c:v>15029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D52-471E-A3D6-CD4E3D397B20}"/>
            </c:ext>
          </c:extLst>
        </c:ser>
        <c:ser>
          <c:idx val="2"/>
          <c:order val="2"/>
          <c:tx>
            <c:strRef>
              <c:f>'07b_ev_load_kwh'!$E$101</c:f>
              <c:strCache>
                <c:ptCount val="1"/>
                <c:pt idx="0">
                  <c:v> EV-U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'07b_ev_load_kwh'!$M$98:$V$98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'07b_ev_load_kwh'!$M$101:$V$101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1693.3</c:v>
                </c:pt>
                <c:pt idx="3">
                  <c:v>67903.7</c:v>
                </c:pt>
                <c:pt idx="4">
                  <c:v>157019</c:v>
                </c:pt>
                <c:pt idx="5">
                  <c:v>32119</c:v>
                </c:pt>
                <c:pt idx="6">
                  <c:v>92715</c:v>
                </c:pt>
                <c:pt idx="7">
                  <c:v>60564</c:v>
                </c:pt>
                <c:pt idx="8">
                  <c:v>373187</c:v>
                </c:pt>
                <c:pt idx="9">
                  <c:v>-52567.550000000047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7D52-471E-A3D6-CD4E3D397B20}"/>
            </c:ext>
          </c:extLst>
        </c:ser>
        <c:ser>
          <c:idx val="3"/>
          <c:order val="3"/>
          <c:tx>
            <c:strRef>
              <c:f>'07b_ev_load_kwh'!$E$102</c:f>
              <c:strCache>
                <c:ptCount val="1"/>
                <c:pt idx="0">
                  <c:v> eBus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'07b_ev_load_kwh'!$M$98:$V$98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'07b_ev_load_kwh'!$M$102:$V$102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74300</c:v>
                </c:pt>
                <c:pt idx="7">
                  <c:v>-44750</c:v>
                </c:pt>
                <c:pt idx="8">
                  <c:v>17052</c:v>
                </c:pt>
                <c:pt idx="9">
                  <c:v>849676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D52-471E-A3D6-CD4E3D397B20}"/>
            </c:ext>
          </c:extLst>
        </c:ser>
        <c:ser>
          <c:idx val="4"/>
          <c:order val="4"/>
          <c:tx>
            <c:strRef>
              <c:f>'07b_ev_load_kwh'!$E$103</c:f>
              <c:strCache>
                <c:ptCount val="1"/>
                <c:pt idx="0">
                  <c:v> EV-MAUI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'07b_ev_load_kwh'!$M$98:$V$98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'07b_ev_load_kwh'!$M$103:$V$103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13133</c:v>
                </c:pt>
                <c:pt idx="8">
                  <c:v>148176</c:v>
                </c:pt>
                <c:pt idx="9">
                  <c:v>35242.31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7D52-471E-A3D6-CD4E3D397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95752552"/>
        <c:axId val="495756816"/>
      </c:barChart>
      <c:lineChart>
        <c:grouping val="standard"/>
        <c:varyColors val="0"/>
        <c:ser>
          <c:idx val="0"/>
          <c:order val="0"/>
          <c:tx>
            <c:strRef>
              <c:f>'07b_ev_load_kwh'!$E$99</c:f>
              <c:strCache>
                <c:ptCount val="1"/>
                <c:pt idx="0">
                  <c:v> Total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'07b_ev_load_kwh'!b_Target_1_Year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'07b_ev_load_kwh'!$M$99:$V$99</c:f>
              <c:numCache>
                <c:formatCode>_(* #,##0_);_(* \(#,##0\);_(* "-"??_);_(@_)</c:formatCode>
                <c:ptCount val="10"/>
                <c:pt idx="0">
                  <c:v>11323</c:v>
                </c:pt>
                <c:pt idx="1">
                  <c:v>126659</c:v>
                </c:pt>
                <c:pt idx="2">
                  <c:v>-13895.7</c:v>
                </c:pt>
                <c:pt idx="3">
                  <c:v>125668.7</c:v>
                </c:pt>
                <c:pt idx="4">
                  <c:v>227972</c:v>
                </c:pt>
                <c:pt idx="5">
                  <c:v>25859</c:v>
                </c:pt>
                <c:pt idx="6">
                  <c:v>102841</c:v>
                </c:pt>
                <c:pt idx="7">
                  <c:v>-53403</c:v>
                </c:pt>
                <c:pt idx="8">
                  <c:v>503564</c:v>
                </c:pt>
                <c:pt idx="9">
                  <c:v>847379.76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7D52-471E-A3D6-CD4E3D397B20}"/>
            </c:ext>
          </c:extLst>
        </c:ser>
        <c:ser>
          <c:idx val="6"/>
          <c:order val="5"/>
          <c:tx>
            <c:v>MAX Improving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19BAD19-2541-430F-A209-A106FE7BDB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318-4D1C-B0C5-DDFE03722DF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5989B43-6A54-4A33-98BE-65A4EC885D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2318-4D1C-B0C5-DDFE03722DF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A32A566-CF14-4D5F-8FBD-C9A92E2E98F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2318-4D1C-B0C5-DDFE03722DF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96DC67D-69ED-4D05-B613-874263CB16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2318-4D1C-B0C5-DDFE03722DF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02F3D88-F7AC-49BB-A4D4-03B8F5FEC5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2318-4D1C-B0C5-DDFE03722DF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D8501B2-0251-4E84-83B3-22F1DA397B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2318-4D1C-B0C5-DDFE03722DF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8A519C2-03A4-453C-AED8-FA491E1A4D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2318-4D1C-B0C5-DDFE03722DF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9BF6555-0AF7-46EA-B79B-325A7A1DE42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318-4D1C-B0C5-DDFE03722DF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A27D6E6-EB0C-4DC5-BE42-CAB9E21838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2318-4D1C-B0C5-DDFE03722DF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67CCD50-824B-4FA8-AEB8-5FD1F9D9C6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2318-4D1C-B0C5-DDFE03722DF1}"/>
                </c:ext>
              </c:extLst>
            </c:dLbl>
            <c:numFmt formatCode="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2000" b="1" i="0" u="none" strike="noStrike" kern="1200" baseline="0">
                    <a:solidFill>
                      <a:srgbClr val="00B050"/>
                    </a:solidFill>
                    <a:latin typeface="Wingdings 3" panose="05040102010807070707" pitchFamily="18" charset="2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'07b_ev_load_kwh'!b_Target_1_Year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'07b_ev_load_kwh'!b_Target_1_MAX</c:f>
              <c:numCache>
                <c:formatCode>_(* #,##0_);_(* \(#,##0\);_(* "-"??_);_(@_)</c:formatCode>
                <c:ptCount val="10"/>
                <c:pt idx="0">
                  <c:v>11323</c:v>
                </c:pt>
                <c:pt idx="1">
                  <c:v>126659</c:v>
                </c:pt>
                <c:pt idx="2">
                  <c:v>17282.3</c:v>
                </c:pt>
                <c:pt idx="3">
                  <c:v>125668.7</c:v>
                </c:pt>
                <c:pt idx="4">
                  <c:v>227972</c:v>
                </c:pt>
                <c:pt idx="5">
                  <c:v>38379</c:v>
                </c:pt>
                <c:pt idx="6">
                  <c:v>231189</c:v>
                </c:pt>
                <c:pt idx="7">
                  <c:v>200797</c:v>
                </c:pt>
                <c:pt idx="8">
                  <c:v>573266</c:v>
                </c:pt>
                <c:pt idx="9">
                  <c:v>952514.8600000001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'07b_ev_load_kwh'!b_Target_1_Improving</c15:f>
                <c15:dlblRangeCache>
                  <c:ptCount val="10"/>
                  <c:pt idx="0">
                    <c:v> J </c:v>
                  </c:pt>
                  <c:pt idx="1">
                    <c:v> J </c:v>
                  </c:pt>
                  <c:pt idx="2">
                    <c:v>  </c:v>
                  </c:pt>
                  <c:pt idx="3">
                    <c:v> J </c:v>
                  </c:pt>
                  <c:pt idx="4">
                    <c:v> J </c:v>
                  </c:pt>
                  <c:pt idx="5">
                    <c:v> J </c:v>
                  </c:pt>
                  <c:pt idx="6">
                    <c:v> J </c:v>
                  </c:pt>
                  <c:pt idx="7">
                    <c:v>  </c:v>
                  </c:pt>
                  <c:pt idx="8">
                    <c:v> J </c:v>
                  </c:pt>
                  <c:pt idx="9">
                    <c:v> J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2318-4D1C-B0C5-DDFE03722DF1}"/>
            </c:ext>
          </c:extLst>
        </c:ser>
        <c:ser>
          <c:idx val="5"/>
          <c:order val="6"/>
          <c:tx>
            <c:v>MAX Declining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29EC94D-EB83-4684-9163-126853B5C6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2318-4D1C-B0C5-DDFE03722DF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5523BF-CE05-4AA7-8124-6DAF5A9915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2318-4D1C-B0C5-DDFE03722DF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71F51F8-218B-4AD8-A787-A71F8FA28C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2318-4D1C-B0C5-DDFE03722DF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874F8F8-86AE-48E2-B29D-C323451746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2318-4D1C-B0C5-DDFE03722DF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3DF5EF8-CAE2-44AA-BB52-D7BEDD0B15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2318-4D1C-B0C5-DDFE03722DF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0D656DC-6CF0-49EE-AF28-F7590A110B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2318-4D1C-B0C5-DDFE03722DF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35CA4C-6D4F-4256-8E5A-9CD3057B61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2318-4D1C-B0C5-DDFE03722DF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576A42E-4D3D-4AA0-BCFB-472CC6D75B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2318-4D1C-B0C5-DDFE03722DF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6B2D34B9-B76E-468B-B27D-0BFD4F65FC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318-4D1C-B0C5-DDFE03722DF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07A431F-C0A9-46BB-A1BE-1FEFE87015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2318-4D1C-B0C5-DDFE03722D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576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FF0000"/>
                    </a:solidFill>
                    <a:latin typeface="Wingdings 3" panose="05040102010807070707" pitchFamily="18" charset="2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cat>
            <c:numRef>
              <c:f>'07b_ev_load_kwh'!b_Target_1_Year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'07b_ev_load_kwh'!b_Target_1_MAX</c:f>
              <c:numCache>
                <c:formatCode>_(* #,##0_);_(* \(#,##0\);_(* "-"??_);_(@_)</c:formatCode>
                <c:ptCount val="10"/>
                <c:pt idx="0">
                  <c:v>11323</c:v>
                </c:pt>
                <c:pt idx="1">
                  <c:v>126659</c:v>
                </c:pt>
                <c:pt idx="2">
                  <c:v>17282.3</c:v>
                </c:pt>
                <c:pt idx="3">
                  <c:v>125668.7</c:v>
                </c:pt>
                <c:pt idx="4">
                  <c:v>227972</c:v>
                </c:pt>
                <c:pt idx="5">
                  <c:v>38379</c:v>
                </c:pt>
                <c:pt idx="6">
                  <c:v>231189</c:v>
                </c:pt>
                <c:pt idx="7">
                  <c:v>200797</c:v>
                </c:pt>
                <c:pt idx="8">
                  <c:v>573266</c:v>
                </c:pt>
                <c:pt idx="9">
                  <c:v>952514.8600000001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'07b_ev_load_kwh'!b_Target_1_Declining</c15:f>
                <c15:dlblRangeCache>
                  <c:ptCount val="10"/>
                  <c:pt idx="0">
                    <c:v>  </c:v>
                  </c:pt>
                  <c:pt idx="1">
                    <c:v>  </c:v>
                  </c:pt>
                  <c:pt idx="2">
                    <c:v> K </c:v>
                  </c:pt>
                  <c:pt idx="3">
                    <c:v>  </c:v>
                  </c:pt>
                  <c:pt idx="4">
                    <c:v>  </c:v>
                  </c:pt>
                  <c:pt idx="5">
                    <c:v>  </c:v>
                  </c:pt>
                  <c:pt idx="6">
                    <c:v>  </c:v>
                  </c:pt>
                  <c:pt idx="7">
                    <c:v> K </c:v>
                  </c:pt>
                  <c:pt idx="8">
                    <c:v>  </c:v>
                  </c:pt>
                  <c:pt idx="9">
                    <c:v>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2318-4D1C-B0C5-DDFE0372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52552"/>
        <c:axId val="495756816"/>
      </c:lineChart>
      <c:catAx>
        <c:axId val="49575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756816"/>
        <c:crosses val="autoZero"/>
        <c:auto val="1"/>
        <c:lblAlgn val="ctr"/>
        <c:lblOffset val="100"/>
        <c:noMultiLvlLbl val="0"/>
      </c:catAx>
      <c:valAx>
        <c:axId val="4957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Change in kWh Relative to Prior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20835789384259E-2"/>
              <c:y val="0.210330219195174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75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24617274795818916"/>
          <c:y val="0.85428947022738966"/>
          <c:w val="0.5035962749406695"/>
          <c:h val="4.5363958790744806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Target 2: Annual</a:t>
            </a:r>
            <a:r>
              <a:rPr lang="en-US" baseline="0"/>
              <a:t> Change in Proportion of En</a:t>
            </a:r>
            <a:r>
              <a:rPr lang="en-US"/>
              <a:t>ergy</a:t>
            </a:r>
            <a:r>
              <a:rPr lang="en-US" baseline="0"/>
              <a:t> (kWh) Delivered to EV Charging Stations During Peak Hours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090503946005035"/>
          <c:y val="0.12579521708846064"/>
          <c:w val="0.79124859038686379"/>
          <c:h val="0.6103893182234884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'07b_ev_load_kwh'!$E$111</c:f>
              <c:strCache>
                <c:ptCount val="1"/>
                <c:pt idx="0">
                  <c:v> EV-F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'07b_ev_load_kwh'!b_Target_2_Year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'07b_ev_load_kwh'!b_Target_2_EV_F</c:f>
              <c:numCache>
                <c:formatCode>0%</c:formatCode>
                <c:ptCount val="10"/>
                <c:pt idx="0">
                  <c:v>0.20630574935971033</c:v>
                </c:pt>
                <c:pt idx="1">
                  <c:v>0.18500507319901435</c:v>
                </c:pt>
                <c:pt idx="2">
                  <c:v>0.1715240499709946</c:v>
                </c:pt>
                <c:pt idx="3">
                  <c:v>0.17589200470703167</c:v>
                </c:pt>
                <c:pt idx="4">
                  <c:v>0.17335101489791285</c:v>
                </c:pt>
                <c:pt idx="5">
                  <c:v>0.17334765508537917</c:v>
                </c:pt>
                <c:pt idx="6">
                  <c:v>0.1655680088556801</c:v>
                </c:pt>
                <c:pt idx="7">
                  <c:v>0.19196542079837275</c:v>
                </c:pt>
                <c:pt idx="8">
                  <c:v>0.26929136339288529</c:v>
                </c:pt>
                <c:pt idx="9">
                  <c:v>0.2662318637504299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2DA-4FEF-B38B-45D6ABD99DF0}"/>
            </c:ext>
          </c:extLst>
        </c:ser>
        <c:ser>
          <c:idx val="3"/>
          <c:order val="2"/>
          <c:tx>
            <c:strRef>
              <c:f>'07b_ev_load_kwh'!$E$112</c:f>
              <c:strCache>
                <c:ptCount val="1"/>
                <c:pt idx="0">
                  <c:v> EV-U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'07b_ev_load_kwh'!b_Target_2_Year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'07b_ev_load_kwh'!b_Target_2_EV_U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5.3500855305845578E-2</c:v>
                </c:pt>
                <c:pt idx="3">
                  <c:v>0.18277561459216368</c:v>
                </c:pt>
                <c:pt idx="4">
                  <c:v>0.27674765464349699</c:v>
                </c:pt>
                <c:pt idx="5">
                  <c:v>0.25450554037497536</c:v>
                </c:pt>
                <c:pt idx="6">
                  <c:v>0.25010527753434325</c:v>
                </c:pt>
                <c:pt idx="7">
                  <c:v>0.23311473340841132</c:v>
                </c:pt>
                <c:pt idx="8">
                  <c:v>0.25122420571495524</c:v>
                </c:pt>
                <c:pt idx="9">
                  <c:v>0.25148892262857331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2DA-4FEF-B38B-45D6ABD99DF0}"/>
            </c:ext>
          </c:extLst>
        </c:ser>
        <c:ser>
          <c:idx val="4"/>
          <c:order val="3"/>
          <c:tx>
            <c:strRef>
              <c:f>'07b_ev_load_kwh'!$E$113</c:f>
              <c:strCache>
                <c:ptCount val="1"/>
                <c:pt idx="0">
                  <c:v> eBus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'07b_ev_load_kwh'!b_Target_2_Year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'07b_ev_load_kwh'!b_Target_2_eBus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8.4118438761776576E-2</c:v>
                </c:pt>
                <c:pt idx="7">
                  <c:v>0.48730964467005078</c:v>
                </c:pt>
                <c:pt idx="8">
                  <c:v>0.24284365477876485</c:v>
                </c:pt>
                <c:pt idx="9">
                  <c:v>2.5642713533077906E-2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B2DA-4FEF-B38B-45D6ABD99DF0}"/>
            </c:ext>
          </c:extLst>
        </c:ser>
        <c:ser>
          <c:idx val="5"/>
          <c:order val="4"/>
          <c:tx>
            <c:strRef>
              <c:f>'07b_ev_load_kwh'!$E$114</c:f>
              <c:strCache>
                <c:ptCount val="1"/>
                <c:pt idx="0">
                  <c:v> EV-MAUI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'07b_ev_load_kwh'!b_Target_2_Year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'07b_ev_load_kwh'!b_Target_2_EV_MAUI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7.8199954313561262E-2</c:v>
                </c:pt>
                <c:pt idx="8">
                  <c:v>0.19074571164659132</c:v>
                </c:pt>
                <c:pt idx="9">
                  <c:v>0.20967140844800272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DA-4FEF-B38B-45D6ABD9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5752552"/>
        <c:axId val="495756816"/>
      </c:barChart>
      <c:lineChart>
        <c:grouping val="standard"/>
        <c:varyColors val="0"/>
        <c:ser>
          <c:idx val="1"/>
          <c:order val="0"/>
          <c:tx>
            <c:strRef>
              <c:f>'07b_ev_load_kwh'!$E$110</c:f>
              <c:strCache>
                <c:ptCount val="1"/>
                <c:pt idx="0">
                  <c:v> Total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'07b_ev_load_kwh'!b_Target_2_Year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'07b_ev_load_kwh'!b_Target_2_Total</c:f>
              <c:numCache>
                <c:formatCode>0%</c:formatCode>
                <c:ptCount val="10"/>
                <c:pt idx="0">
                  <c:v>0.20630574935971033</c:v>
                </c:pt>
                <c:pt idx="1">
                  <c:v>0.18500239161629778</c:v>
                </c:pt>
                <c:pt idx="2">
                  <c:v>0.1699115857270303</c:v>
                </c:pt>
                <c:pt idx="3">
                  <c:v>0.177810254048968</c:v>
                </c:pt>
                <c:pt idx="4" formatCode="0.00%">
                  <c:v>0.22239898519447299</c:v>
                </c:pt>
                <c:pt idx="5" formatCode="0.00%">
                  <c:v>0.21504569229486126</c:v>
                </c:pt>
                <c:pt idx="6" formatCode="0.00%">
                  <c:v>0.20458192000026384</c:v>
                </c:pt>
                <c:pt idx="7" formatCode="0.00%">
                  <c:v>0.23570224800370326</c:v>
                </c:pt>
                <c:pt idx="8" formatCode="0.00%">
                  <c:v>0.24270671255020879</c:v>
                </c:pt>
                <c:pt idx="9" formatCode="0.00%">
                  <c:v>0.1414645224875026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B2DA-4FEF-B38B-45D6ABD99DF0}"/>
            </c:ext>
          </c:extLst>
        </c:ser>
        <c:ser>
          <c:idx val="0"/>
          <c:order val="5"/>
          <c:tx>
            <c:v>MAX Improving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E594A0E-3C51-4248-8672-623BF41F3C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37E-46A1-B368-3F8BBAB0FD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21F91CB-A09E-41A0-A5DB-B791D04397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37E-46A1-B368-3F8BBAB0FD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347A9E5-2AB6-4B63-BAFE-33B009774D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37E-46A1-B368-3F8BBAB0FD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F0B31B-6371-4A85-A95E-C280C8942B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37E-46A1-B368-3F8BBAB0FD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F262ED7-0574-47E0-8BE0-C1ECC49122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37E-46A1-B368-3F8BBAB0FD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CC9F100-E4F1-4726-9274-DE2B572C46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37E-46A1-B368-3F8BBAB0FD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A423E31-BCBF-4360-8A6F-73C4147E64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37E-46A1-B368-3F8BBAB0FD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49A864B-0728-4CA0-BEEC-AFF981E28A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37E-46A1-B368-3F8BBAB0FDA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C86C5C6-B1BB-47FA-996E-A2AC447027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37E-46A1-B368-3F8BBAB0FD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3A38B13-86CF-4F49-95E5-2BA7E30B7B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37E-46A1-B368-3F8BBAB0FDA6}"/>
                </c:ext>
              </c:extLst>
            </c:dLbl>
            <c:numFmt formatCode="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00B050"/>
                    </a:solidFill>
                    <a:latin typeface="Wingdings 3" panose="05040102010807070707" pitchFamily="18" charset="2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'07b_ev_load_kwh'!b_Target_2_Year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'07b_ev_load_kwh'!b_Target_2_MAX</c:f>
              <c:numCache>
                <c:formatCode>0.00%</c:formatCode>
                <c:ptCount val="10"/>
                <c:pt idx="0">
                  <c:v>0.20630574935971033</c:v>
                </c:pt>
                <c:pt idx="1">
                  <c:v>0.18500507319901435</c:v>
                </c:pt>
                <c:pt idx="2">
                  <c:v>0.1715240499709946</c:v>
                </c:pt>
                <c:pt idx="3">
                  <c:v>0.18277561459216368</c:v>
                </c:pt>
                <c:pt idx="4">
                  <c:v>0.27674765464349699</c:v>
                </c:pt>
                <c:pt idx="5">
                  <c:v>0.25450554037497536</c:v>
                </c:pt>
                <c:pt idx="6">
                  <c:v>0.25010527753434325</c:v>
                </c:pt>
                <c:pt idx="7">
                  <c:v>0.48730964467005078</c:v>
                </c:pt>
                <c:pt idx="8">
                  <c:v>0.26929136339288529</c:v>
                </c:pt>
                <c:pt idx="9">
                  <c:v>0.2662318637504299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'07b_ev_load_kwh'!b_Target_2_Improving</c15:f>
                <c15:dlblRangeCache>
                  <c:ptCount val="10"/>
                  <c:pt idx="0">
                    <c:v> J </c:v>
                  </c:pt>
                  <c:pt idx="1">
                    <c:v> J </c:v>
                  </c:pt>
                  <c:pt idx="2">
                    <c:v> J </c:v>
                  </c:pt>
                  <c:pt idx="3">
                    <c:v>  </c:v>
                  </c:pt>
                  <c:pt idx="4">
                    <c:v>  </c:v>
                  </c:pt>
                  <c:pt idx="5">
                    <c:v> J </c:v>
                  </c:pt>
                  <c:pt idx="6">
                    <c:v> J </c:v>
                  </c:pt>
                  <c:pt idx="7">
                    <c:v>  </c:v>
                  </c:pt>
                  <c:pt idx="8">
                    <c:v>  </c:v>
                  </c:pt>
                  <c:pt idx="9">
                    <c:v> J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A37E-46A1-B368-3F8BBAB0FDA6}"/>
            </c:ext>
          </c:extLst>
        </c:ser>
        <c:ser>
          <c:idx val="6"/>
          <c:order val="6"/>
          <c:tx>
            <c:v>MAX Declining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E590885-4DB5-404E-91F7-4D6676F303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37E-46A1-B368-3F8BBAB0FDA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829228-0C00-4668-A684-1DE5233D77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37E-46A1-B368-3F8BBAB0FDA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FA3980-5CFF-463E-A0C7-C98F6A525A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37E-46A1-B368-3F8BBAB0FDA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447A9FE-BAF8-47B2-9E27-AEEB6DCBB3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37E-46A1-B368-3F8BBAB0FDA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5FC76B4-9E23-44D1-87F5-F411471309C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37E-46A1-B368-3F8BBAB0FDA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D74F212-7775-42C9-9A50-65D1ACFB74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37E-46A1-B368-3F8BBAB0FDA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828EBA4-B41E-4E33-AB95-A40867C84B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37E-46A1-B368-3F8BBAB0FDA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00F8642-A364-47B8-AAB8-66E9955395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37E-46A1-B368-3F8BBAB0FDA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3EAC784-FC75-4D8B-858A-4C93B4BC4F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37E-46A1-B368-3F8BBAB0FDA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14C02B3-3C21-4143-B162-B4BA3BB935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37E-46A1-B368-3F8BBAB0FD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FF0000"/>
                    </a:solidFill>
                    <a:latin typeface="Wingdings 3" panose="05040102010807070707" pitchFamily="18" charset="2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'07b_ev_load_kwh'!b_Target_2_Year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'07b_ev_load_kwh'!b_Target_2_MAX</c:f>
              <c:numCache>
                <c:formatCode>0.00%</c:formatCode>
                <c:ptCount val="10"/>
                <c:pt idx="0">
                  <c:v>0.20630574935971033</c:v>
                </c:pt>
                <c:pt idx="1">
                  <c:v>0.18500507319901435</c:v>
                </c:pt>
                <c:pt idx="2">
                  <c:v>0.1715240499709946</c:v>
                </c:pt>
                <c:pt idx="3">
                  <c:v>0.18277561459216368</c:v>
                </c:pt>
                <c:pt idx="4">
                  <c:v>0.27674765464349699</c:v>
                </c:pt>
                <c:pt idx="5">
                  <c:v>0.25450554037497536</c:v>
                </c:pt>
                <c:pt idx="6">
                  <c:v>0.25010527753434325</c:v>
                </c:pt>
                <c:pt idx="7">
                  <c:v>0.48730964467005078</c:v>
                </c:pt>
                <c:pt idx="8">
                  <c:v>0.26929136339288529</c:v>
                </c:pt>
                <c:pt idx="9">
                  <c:v>0.2662318637504299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'07b_ev_load_kwh'!b_Target_2_Declining</c15:f>
                <c15:dlblRangeCache>
                  <c:ptCount val="10"/>
                  <c:pt idx="1">
                    <c:v>  </c:v>
                  </c:pt>
                  <c:pt idx="2">
                    <c:v>  </c:v>
                  </c:pt>
                  <c:pt idx="3">
                    <c:v> K </c:v>
                  </c:pt>
                  <c:pt idx="4">
                    <c:v> K </c:v>
                  </c:pt>
                  <c:pt idx="5">
                    <c:v>  </c:v>
                  </c:pt>
                  <c:pt idx="6">
                    <c:v>  </c:v>
                  </c:pt>
                  <c:pt idx="7">
                    <c:v> K </c:v>
                  </c:pt>
                  <c:pt idx="8">
                    <c:v> K </c:v>
                  </c:pt>
                  <c:pt idx="9">
                    <c:v> 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A37E-46A1-B368-3F8BBAB0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752552"/>
        <c:axId val="495756816"/>
      </c:lineChart>
      <c:catAx>
        <c:axId val="49575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756816"/>
        <c:crosses val="autoZero"/>
        <c:auto val="1"/>
        <c:lblAlgn val="ctr"/>
        <c:lblOffset val="100"/>
        <c:noMultiLvlLbl val="0"/>
      </c:catAx>
      <c:valAx>
        <c:axId val="49575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 of Annual Peak Engery/Total Energy</a:t>
                </a:r>
              </a:p>
            </c:rich>
          </c:tx>
          <c:layout>
            <c:manualLayout>
              <c:xMode val="edge"/>
              <c:yMode val="edge"/>
              <c:x val="5.5843801055539877E-2"/>
              <c:y val="0.181545881178597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75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27725430256528688"/>
          <c:y val="0.80506267793555941"/>
          <c:w val="0.47651859490877368"/>
          <c:h val="4.0178144592127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112738</xdr:colOff>
      <xdr:row>7</xdr:row>
      <xdr:rowOff>70414</xdr:rowOff>
    </xdr:from>
    <xdr:to>
      <xdr:col>2</xdr:col>
      <xdr:colOff>1370038</xdr:colOff>
      <xdr:row>34</xdr:row>
      <xdr:rowOff>74015</xdr:rowOff>
    </xdr:to>
    <xdr:graphicFrame macro="">
      <xdr:nvGraphicFramePr>
        <xdr:cNvPr id="3" name="07b_total_ev_load_total_energy_a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125357</xdr:colOff>
      <xdr:row>185</xdr:row>
      <xdr:rowOff>193899</xdr:rowOff>
    </xdr:from>
    <xdr:to>
      <xdr:col>2</xdr:col>
      <xdr:colOff>1382657</xdr:colOff>
      <xdr:row>205</xdr:row>
      <xdr:rowOff>11019</xdr:rowOff>
    </xdr:to>
    <xdr:graphicFrame macro="">
      <xdr:nvGraphicFramePr>
        <xdr:cNvPr id="11" name="07b_ev_load_demand_kwh_ev_j_a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151235</xdr:colOff>
      <xdr:row>206</xdr:row>
      <xdr:rowOff>25993</xdr:rowOff>
    </xdr:from>
    <xdr:to>
      <xdr:col>2</xdr:col>
      <xdr:colOff>1408535</xdr:colOff>
      <xdr:row>227</xdr:row>
      <xdr:rowOff>70655</xdr:rowOff>
    </xdr:to>
    <xdr:graphicFrame macro="">
      <xdr:nvGraphicFramePr>
        <xdr:cNvPr id="12" name="07b_ev_load_demand_kwh_ev_p_a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52227</xdr:colOff>
      <xdr:row>34</xdr:row>
      <xdr:rowOff>156382</xdr:rowOff>
    </xdr:from>
    <xdr:to>
      <xdr:col>2</xdr:col>
      <xdr:colOff>1309527</xdr:colOff>
      <xdr:row>61</xdr:row>
      <xdr:rowOff>38760</xdr:rowOff>
    </xdr:to>
    <xdr:graphicFrame macro="">
      <xdr:nvGraphicFramePr>
        <xdr:cNvPr id="13" name="07b_ev_load_demand_kwh_ev_u_a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250770</xdr:colOff>
      <xdr:row>62</xdr:row>
      <xdr:rowOff>65617</xdr:rowOff>
    </xdr:from>
    <xdr:to>
      <xdr:col>3</xdr:col>
      <xdr:colOff>12645</xdr:colOff>
      <xdr:row>80</xdr:row>
      <xdr:rowOff>306123</xdr:rowOff>
    </xdr:to>
    <xdr:graphicFrame macro="">
      <xdr:nvGraphicFramePr>
        <xdr:cNvPr id="19" name="07b_ev_load_demand_kwh_ev_f_a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127686</xdr:colOff>
      <xdr:row>106</xdr:row>
      <xdr:rowOff>337389</xdr:rowOff>
    </xdr:from>
    <xdr:to>
      <xdr:col>2</xdr:col>
      <xdr:colOff>1384986</xdr:colOff>
      <xdr:row>123</xdr:row>
      <xdr:rowOff>155452</xdr:rowOff>
    </xdr:to>
    <xdr:graphicFrame macro="">
      <xdr:nvGraphicFramePr>
        <xdr:cNvPr id="24" name="07b_ev_load_demand_kwh_ebus_a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173036</xdr:colOff>
      <xdr:row>81</xdr:row>
      <xdr:rowOff>14128</xdr:rowOff>
    </xdr:from>
    <xdr:to>
      <xdr:col>2</xdr:col>
      <xdr:colOff>1430336</xdr:colOff>
      <xdr:row>104</xdr:row>
      <xdr:rowOff>278946</xdr:rowOff>
    </xdr:to>
    <xdr:graphicFrame macro="">
      <xdr:nvGraphicFramePr>
        <xdr:cNvPr id="31" name="07b_ev_load_ev_maui_a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247851</xdr:colOff>
      <xdr:row>125</xdr:row>
      <xdr:rowOff>37954</xdr:rowOff>
    </xdr:from>
    <xdr:to>
      <xdr:col>3</xdr:col>
      <xdr:colOff>9726</xdr:colOff>
      <xdr:row>151</xdr:row>
      <xdr:rowOff>147409</xdr:rowOff>
    </xdr:to>
    <xdr:graphicFrame macro="">
      <xdr:nvGraphicFramePr>
        <xdr:cNvPr id="32" name="07b_ev_load_ev_maui_an_Target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0</xdr:col>
      <xdr:colOff>217327</xdr:colOff>
      <xdr:row>152</xdr:row>
      <xdr:rowOff>185115</xdr:rowOff>
    </xdr:from>
    <xdr:to>
      <xdr:col>2</xdr:col>
      <xdr:colOff>1474627</xdr:colOff>
      <xdr:row>180</xdr:row>
      <xdr:rowOff>185209</xdr:rowOff>
    </xdr:to>
    <xdr:graphicFrame macro="">
      <xdr:nvGraphicFramePr>
        <xdr:cNvPr id="33" name="07b_ev_load_ev_maui_an_target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0</xdr:colOff>
      <xdr:row>7</xdr:row>
      <xdr:rowOff>1</xdr:rowOff>
    </xdr:from>
    <xdr:to>
      <xdr:col>25</xdr:col>
      <xdr:colOff>419100</xdr:colOff>
      <xdr:row>8</xdr:row>
      <xdr:rowOff>21228</xdr:rowOff>
    </xdr:to>
    <xdr:graphicFrame macro="">
      <xdr:nvGraphicFramePr>
        <xdr:cNvPr id="4" name="07f_rideshare_fueling_hub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0.15405</cdr:x>
      <cdr:y>0.37221</cdr:y>
    </cdr:from>
    <cdr:to>
      <cdr:x>0.89232</cdr:x>
      <cdr:y>0.55421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3F1015-4FE0-4D76-BFC8-4310A84D844C}"/>
            </a:ext>
          </a:extLst>
        </cdr:cNvPr>
        <cdr:cNvSpPr txBox="1"/>
      </cdr:nvSpPr>
      <cdr:spPr>
        <a:xfrm xmlns:a="http://schemas.openxmlformats.org/drawingml/2006/main">
          <a:off x="1027112" y="1598613"/>
          <a:ext cx="4922433" cy="7816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rgbClr val="FF0000"/>
              </a:solidFill>
              <a:latin typeface="+mn-lt"/>
              <a:ea typeface="+mn-ea"/>
              <a:cs typeface="+mn-cs"/>
            </a:rPr>
            <a:t>The metric as established by the Commission is not readily available at this time.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</cdr:x>
      <cdr:y>0.35155</cdr:y>
    </cdr:from>
    <cdr:to>
      <cdr:x>0.87822</cdr:x>
      <cdr:y>0.5332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B5427A-CB9B-427E-BB9D-D7D6C5A17871}"/>
            </a:ext>
          </a:extLst>
        </cdr:cNvPr>
        <cdr:cNvSpPr txBox="1"/>
      </cdr:nvSpPr>
      <cdr:spPr>
        <a:xfrm xmlns:a="http://schemas.openxmlformats.org/drawingml/2006/main">
          <a:off x="949452" y="1512729"/>
          <a:ext cx="4922430" cy="7816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rgbClr val="FF0000"/>
              </a:solidFill>
              <a:latin typeface="+mn-lt"/>
              <a:ea typeface="+mn-ea"/>
              <a:cs typeface="+mn-cs"/>
            </a:rPr>
            <a:t>Rate effective date is March 18, 2022.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rgbClr val="FF0000"/>
              </a:solidFill>
              <a:latin typeface="+mn-lt"/>
              <a:ea typeface="+mn-ea"/>
              <a:cs typeface="+mn-cs"/>
            </a:rPr>
            <a:t>Data is not available at this time.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</cdr:x>
      <cdr:y>0.35155</cdr:y>
    </cdr:from>
    <cdr:to>
      <cdr:x>0.87822</cdr:x>
      <cdr:y>0.5332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B5427A-CB9B-427E-BB9D-D7D6C5A17871}"/>
            </a:ext>
          </a:extLst>
        </cdr:cNvPr>
        <cdr:cNvSpPr txBox="1"/>
      </cdr:nvSpPr>
      <cdr:spPr>
        <a:xfrm xmlns:a="http://schemas.openxmlformats.org/drawingml/2006/main">
          <a:off x="949452" y="1512729"/>
          <a:ext cx="4922430" cy="7816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rgbClr val="FF0000"/>
              </a:solidFill>
              <a:latin typeface="+mn-lt"/>
              <a:ea typeface="+mn-ea"/>
              <a:cs typeface="+mn-cs"/>
            </a:rPr>
            <a:t>Rate effective date is March 18, 2022.</a:t>
          </a:r>
        </a:p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rgbClr val="FF0000"/>
              </a:solidFill>
              <a:latin typeface="+mn-lt"/>
              <a:ea typeface="+mn-ea"/>
              <a:cs typeface="+mn-cs"/>
            </a:rPr>
            <a:t>Data is not available at this time.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0.07173</cdr:x>
      <cdr:y>0.90503</cdr:y>
    </cdr:from>
    <cdr:to>
      <cdr:x>0.88999</cdr:x>
      <cdr:y>0.96775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86DD987-C9DA-6AD4-34A6-8ACA65B30BA6}"/>
            </a:ext>
          </a:extLst>
        </cdr:cNvPr>
        <cdr:cNvSpPr txBox="1"/>
      </cdr:nvSpPr>
      <cdr:spPr>
        <a:xfrm xmlns:a="http://schemas.openxmlformats.org/drawingml/2006/main">
          <a:off x="535314" y="4581671"/>
          <a:ext cx="6106584" cy="3174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 </a:t>
          </a:r>
          <a:r>
            <a:rPr lang="en-US" sz="1100" b="0" i="1">
              <a:effectLst/>
              <a:latin typeface="+mn-lt"/>
              <a:ea typeface="+mn-ea"/>
              <a:cs typeface="+mn-cs"/>
            </a:rPr>
            <a:t>*Scorecard Target 1 is achieved (</a:t>
          </a:r>
          <a:r>
            <a:rPr lang="en-US" sz="1400" b="1" i="0">
              <a:solidFill>
                <a:srgbClr val="92D050"/>
              </a:solidFill>
              <a:effectLst/>
              <a:latin typeface="Wingdings 3" panose="05040102010807070707" pitchFamily="18" charset="2"/>
              <a:ea typeface="+mn-ea"/>
              <a:cs typeface="+mn-cs"/>
            </a:rPr>
            <a:t>J</a:t>
          </a:r>
          <a:r>
            <a:rPr lang="en-US" sz="1100" b="0" i="1">
              <a:effectLst/>
              <a:latin typeface="+mn-lt"/>
              <a:ea typeface="+mn-ea"/>
              <a:cs typeface="+mn-cs"/>
            </a:rPr>
            <a:t>) for every year that the Cumulative Change is a positive value.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0.09189</cdr:x>
      <cdr:y>0.85715</cdr:y>
    </cdr:from>
    <cdr:to>
      <cdr:x>0.93847</cdr:x>
      <cdr:y>0.95933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DAB10E2-AD6F-73CF-167A-87701B8B9487}"/>
            </a:ext>
          </a:extLst>
        </cdr:cNvPr>
        <cdr:cNvSpPr txBox="1"/>
      </cdr:nvSpPr>
      <cdr:spPr>
        <a:xfrm xmlns:a="http://schemas.openxmlformats.org/drawingml/2006/main">
          <a:off x="687547" y="4572119"/>
          <a:ext cx="6334125" cy="5450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 i="1">
              <a:effectLst/>
              <a:latin typeface="+mn-lt"/>
              <a:ea typeface="+mn-ea"/>
              <a:cs typeface="+mn-cs"/>
            </a:rPr>
            <a:t>*Scorecard Target 2 is achieved (</a:t>
          </a:r>
          <a:r>
            <a:rPr lang="en-US" sz="1400" b="1" i="0">
              <a:solidFill>
                <a:srgbClr val="92D050"/>
              </a:solidFill>
              <a:effectLst/>
              <a:latin typeface="Wingdings 3" panose="05040102010807070707" pitchFamily="18" charset="2"/>
              <a:ea typeface="+mn-ea"/>
              <a:cs typeface="+mn-cs"/>
            </a:rPr>
            <a:t>J</a:t>
          </a:r>
          <a:r>
            <a:rPr lang="en-US" sz="1100" b="0" i="1">
              <a:effectLst/>
              <a:latin typeface="+mn-lt"/>
              <a:ea typeface="+mn-ea"/>
              <a:cs typeface="+mn-cs"/>
            </a:rPr>
            <a:t>) for every year that the Cumulative ratio of peak load to total load declines relative to the previous year.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346364</xdr:colOff>
      <xdr:row>8</xdr:row>
      <xdr:rowOff>98136</xdr:rowOff>
    </xdr:from>
    <xdr:to>
      <xdr:col>4</xdr:col>
      <xdr:colOff>467592</xdr:colOff>
      <xdr:row>11</xdr:row>
      <xdr:rowOff>115454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8273" y="1922318"/>
          <a:ext cx="195695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We do</a:t>
          </a:r>
          <a:r>
            <a:rPr lang="en-US" sz="1100" baseline="0">
              <a:solidFill>
                <a:srgbClr val="FF0000"/>
              </a:solidFill>
            </a:rPr>
            <a:t> not have this data at this time.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absolute">
    <xdr:from>
      <xdr:col>8</xdr:col>
      <xdr:colOff>44824</xdr:colOff>
      <xdr:row>3</xdr:row>
      <xdr:rowOff>33618</xdr:rowOff>
    </xdr:from>
    <xdr:to>
      <xdr:col>23</xdr:col>
      <xdr:colOff>425824</xdr:colOff>
      <xdr:row>26</xdr:row>
      <xdr:rowOff>41238</xdr:rowOff>
    </xdr:to>
    <xdr:graphicFrame macro="">
      <xdr:nvGraphicFramePr>
        <xdr:cNvPr id="3" name="07c_ev_load_demand_kw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0.142</cdr:x>
      <cdr:y>0.35155</cdr:y>
    </cdr:from>
    <cdr:to>
      <cdr:x>0.87822</cdr:x>
      <cdr:y>0.5332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1B5427A-CB9B-427E-BB9D-D7D6C5A17871}"/>
            </a:ext>
          </a:extLst>
        </cdr:cNvPr>
        <cdr:cNvSpPr txBox="1"/>
      </cdr:nvSpPr>
      <cdr:spPr>
        <a:xfrm xmlns:a="http://schemas.openxmlformats.org/drawingml/2006/main">
          <a:off x="949452" y="1512729"/>
          <a:ext cx="4922430" cy="7816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rgbClr val="FF0000"/>
              </a:solidFill>
              <a:latin typeface="+mn-lt"/>
              <a:ea typeface="+mn-ea"/>
              <a:cs typeface="+mn-cs"/>
            </a:rPr>
            <a:t>The scorecard as established by the Commission is not readily available at this time.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29208</xdr:colOff>
      <xdr:row>28</xdr:row>
      <xdr:rowOff>21590</xdr:rowOff>
    </xdr:from>
    <xdr:to>
      <xdr:col>17</xdr:col>
      <xdr:colOff>705483</xdr:colOff>
      <xdr:row>51</xdr:row>
      <xdr:rowOff>29210</xdr:rowOff>
    </xdr:to>
    <xdr:graphicFrame macro="">
      <xdr:nvGraphicFramePr>
        <xdr:cNvPr id="2" name="07d_estimated_ev_loa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27305</xdr:colOff>
      <xdr:row>35</xdr:row>
      <xdr:rowOff>28575</xdr:rowOff>
    </xdr:from>
    <xdr:to>
      <xdr:col>20</xdr:col>
      <xdr:colOff>455930</xdr:colOff>
      <xdr:row>58</xdr:row>
      <xdr:rowOff>29845</xdr:rowOff>
    </xdr:to>
    <xdr:graphicFrame macro="">
      <xdr:nvGraphicFramePr>
        <xdr:cNvPr id="2" name="07e_ev_coun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hawaiianelectric.com/documents/clean_energy_hawaii/integrated_grid_planning/stakeholder_engagement/working_groups/forecast_assumptions/EoT_forecast_IGP.xlsx" TargetMode="External"/><Relationship Id="rId1" Type="http://schemas.openxmlformats.org/officeDocument/2006/relationships/hyperlink" Target="http://dbedt.hawaii.gov/economic/databook/" TargetMode="External"/><Relationship Id="rId4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bedt.hawaii.gov/economic/files/2022/02/Monthly_Energy_Data.xlsx" TargetMode="External"/><Relationship Id="rId1" Type="http://schemas.openxmlformats.org/officeDocument/2006/relationships/hyperlink" Target="https://www.hawaiianelectric.com/documents/clean_energy_hawaii/integrated_grid_planning/stakeholder_engagement/working_groups/forecast_assumptions/EoT_forecast_IGP.xlsx" TargetMode="External"/><Relationship Id="rId4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5091-C67D-4EEB-9C17-F7C194A38A5B}">
  <sheetPr codeName="Sheet1"/>
  <dimension ref="A1:AO239"/>
  <sheetViews>
    <sheetView tabSelected="1"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5" outlineLevelCol="1" x14ac:dyDescent="0.25"/>
  <cols>
    <col min="1" max="1" width="119" style="29" customWidth="1"/>
    <col min="2" max="2" width="5" customWidth="1"/>
    <col min="3" max="3" width="22.42578125" bestFit="1" customWidth="1"/>
    <col min="4" max="4" width="50.5703125" customWidth="1"/>
    <col min="5" max="5" width="37.140625" style="29" customWidth="1"/>
    <col min="6" max="6" width="12.5703125" style="29" bestFit="1" customWidth="1" outlineLevel="1"/>
    <col min="7" max="7" width="11.85546875" style="29" bestFit="1" customWidth="1" outlineLevel="1"/>
    <col min="8" max="8" width="11.140625" style="29" bestFit="1" customWidth="1" outlineLevel="1"/>
    <col min="9" max="12" width="11.85546875" style="29" bestFit="1" customWidth="1" outlineLevel="1"/>
    <col min="13" max="15" width="12.5703125" style="29" bestFit="1" customWidth="1"/>
    <col min="16" max="19" width="12.85546875" style="29" bestFit="1" customWidth="1"/>
    <col min="20" max="22" width="12.85546875" bestFit="1" customWidth="1"/>
    <col min="23" max="23" width="10.140625" customWidth="1"/>
  </cols>
  <sheetData>
    <row r="1" spans="1:23" s="29" customFormat="1" ht="15.75" x14ac:dyDescent="0.25">
      <c r="A1" s="5" t="s">
        <v>1</v>
      </c>
    </row>
    <row r="2" spans="1:23" s="29" customFormat="1" ht="15.75" x14ac:dyDescent="0.25">
      <c r="A2" s="11" t="s">
        <v>77</v>
      </c>
    </row>
    <row r="3" spans="1:23" s="29" customFormat="1" ht="15.75" x14ac:dyDescent="0.25">
      <c r="A3" s="11" t="s">
        <v>42</v>
      </c>
    </row>
    <row r="4" spans="1:23" s="29" customFormat="1" ht="15.75" x14ac:dyDescent="0.25">
      <c r="A4" s="11" t="s">
        <v>43</v>
      </c>
    </row>
    <row r="5" spans="1:23" s="10" customFormat="1" x14ac:dyDescent="0.25">
      <c r="A5" s="29"/>
      <c r="C5" s="20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3" s="3" customFormat="1" ht="30" x14ac:dyDescent="0.25">
      <c r="E6" s="69" t="s">
        <v>49</v>
      </c>
      <c r="F6" s="3">
        <f t="shared" ref="F6:O6" si="0">G6-1</f>
        <v>2006</v>
      </c>
      <c r="G6" s="3">
        <f t="shared" si="0"/>
        <v>2007</v>
      </c>
      <c r="H6" s="3">
        <f t="shared" si="0"/>
        <v>2008</v>
      </c>
      <c r="I6" s="3">
        <f t="shared" si="0"/>
        <v>2009</v>
      </c>
      <c r="J6" s="3">
        <f t="shared" si="0"/>
        <v>2010</v>
      </c>
      <c r="K6" s="3">
        <f t="shared" si="0"/>
        <v>2011</v>
      </c>
      <c r="L6" s="3">
        <f t="shared" si="0"/>
        <v>2012</v>
      </c>
      <c r="M6" s="3">
        <f t="shared" si="0"/>
        <v>2013</v>
      </c>
      <c r="N6" s="3">
        <f t="shared" si="0"/>
        <v>2014</v>
      </c>
      <c r="O6" s="3">
        <f t="shared" si="0"/>
        <v>2015</v>
      </c>
      <c r="P6" s="3">
        <v>2016</v>
      </c>
      <c r="Q6" s="3">
        <v>2017</v>
      </c>
      <c r="R6" s="3">
        <v>2018</v>
      </c>
      <c r="S6" s="3">
        <v>2019</v>
      </c>
      <c r="T6" s="3">
        <v>2020</v>
      </c>
      <c r="U6" s="3">
        <v>2021</v>
      </c>
      <c r="V6" s="3">
        <v>2022</v>
      </c>
      <c r="W6" s="3">
        <v>2023</v>
      </c>
    </row>
    <row r="7" spans="1:23" s="39" customFormat="1" x14ac:dyDescent="0.25">
      <c r="A7" s="131" t="s">
        <v>35</v>
      </c>
      <c r="B7" s="132"/>
      <c r="C7" s="132"/>
      <c r="D7" s="132"/>
      <c r="E7" s="132"/>
      <c r="M7" s="42"/>
      <c r="N7" s="42"/>
      <c r="O7" s="42"/>
      <c r="P7" s="42"/>
      <c r="Q7" s="42"/>
      <c r="R7" s="42"/>
      <c r="S7" s="43">
        <f>SUM(S8:S55)/10</f>
        <v>60642.7</v>
      </c>
      <c r="T7" s="43">
        <f>SUM(T8:T55)/10</f>
        <v>55302.400000000001</v>
      </c>
      <c r="U7" s="43">
        <f>SUM(U8:U55)/10</f>
        <v>105658.8</v>
      </c>
      <c r="V7" s="43">
        <f>SUM(V8:V55)/10</f>
        <v>190396.77600000001</v>
      </c>
    </row>
    <row r="8" spans="1:23" x14ac:dyDescent="0.25">
      <c r="B8" s="134" t="s">
        <v>12</v>
      </c>
      <c r="C8" s="134" t="s">
        <v>55</v>
      </c>
      <c r="D8" t="s">
        <v>7</v>
      </c>
      <c r="E8" s="29" t="str">
        <f>B$8&amp;" "&amp;C$8&amp;" "&amp;D8</f>
        <v>EV-U  Oʻahu Peak</v>
      </c>
      <c r="F8" s="23" t="s">
        <v>33</v>
      </c>
      <c r="G8" s="23" t="s">
        <v>33</v>
      </c>
      <c r="H8" s="23" t="s">
        <v>33</v>
      </c>
      <c r="I8" s="23" t="s">
        <v>33</v>
      </c>
      <c r="J8" s="23" t="s">
        <v>33</v>
      </c>
      <c r="K8" s="23" t="s">
        <v>33</v>
      </c>
      <c r="L8" s="23" t="s">
        <v>33</v>
      </c>
      <c r="M8" s="21">
        <v>0</v>
      </c>
      <c r="N8" s="21">
        <v>0</v>
      </c>
      <c r="O8" s="21">
        <v>90.7</v>
      </c>
      <c r="P8" s="21">
        <v>12571</v>
      </c>
      <c r="Q8" s="21">
        <v>58239</v>
      </c>
      <c r="R8" s="21">
        <v>59903</v>
      </c>
      <c r="S8" s="21">
        <v>72611</v>
      </c>
      <c r="T8" s="21">
        <v>82047</v>
      </c>
      <c r="U8" s="21">
        <v>180015</v>
      </c>
      <c r="V8" s="21">
        <v>163018.60999999999</v>
      </c>
      <c r="W8" s="48"/>
    </row>
    <row r="9" spans="1:23" x14ac:dyDescent="0.25">
      <c r="B9" s="134"/>
      <c r="C9" s="134"/>
      <c r="D9" t="s">
        <v>8</v>
      </c>
      <c r="E9" s="29" t="str">
        <f t="shared" ref="E9:E10" si="1">B$8&amp;" "&amp;C$8&amp;" "&amp;D9</f>
        <v xml:space="preserve">EV-U  Oʻahu Off peak </v>
      </c>
      <c r="F9" s="23" t="s">
        <v>33</v>
      </c>
      <c r="G9" s="23" t="s">
        <v>33</v>
      </c>
      <c r="H9" s="23" t="s">
        <v>33</v>
      </c>
      <c r="I9" s="23" t="s">
        <v>33</v>
      </c>
      <c r="J9" s="23" t="s">
        <v>33</v>
      </c>
      <c r="K9" s="23" t="s">
        <v>33</v>
      </c>
      <c r="L9" s="23" t="s">
        <v>33</v>
      </c>
      <c r="M9" s="21">
        <v>0</v>
      </c>
      <c r="N9" s="21">
        <v>0</v>
      </c>
      <c r="O9" s="21">
        <v>27.8</v>
      </c>
      <c r="P9" s="21">
        <v>14417</v>
      </c>
      <c r="Q9" s="21">
        <v>50806</v>
      </c>
      <c r="R9" s="21">
        <v>43543</v>
      </c>
      <c r="S9" s="21">
        <v>52599</v>
      </c>
      <c r="T9" s="21">
        <v>60557</v>
      </c>
      <c r="U9" s="21">
        <v>149507</v>
      </c>
      <c r="V9" s="21">
        <v>126933.34</v>
      </c>
      <c r="W9" s="21"/>
    </row>
    <row r="10" spans="1:23" x14ac:dyDescent="0.25">
      <c r="B10" s="134"/>
      <c r="C10" s="134"/>
      <c r="D10" t="s">
        <v>47</v>
      </c>
      <c r="E10" s="29" t="str">
        <f t="shared" si="1"/>
        <v>EV-U  Oʻahu Daytime</v>
      </c>
      <c r="F10" s="23" t="s">
        <v>33</v>
      </c>
      <c r="G10" s="23" t="s">
        <v>33</v>
      </c>
      <c r="H10" s="23" t="s">
        <v>33</v>
      </c>
      <c r="I10" s="23" t="s">
        <v>33</v>
      </c>
      <c r="J10" s="23" t="s">
        <v>33</v>
      </c>
      <c r="K10" s="23" t="s">
        <v>33</v>
      </c>
      <c r="L10" s="23" t="s">
        <v>33</v>
      </c>
      <c r="M10" s="21">
        <v>0</v>
      </c>
      <c r="N10" s="21">
        <v>0</v>
      </c>
      <c r="O10" s="21">
        <v>1474</v>
      </c>
      <c r="P10" s="21">
        <v>40690</v>
      </c>
      <c r="Q10" s="21">
        <v>97017</v>
      </c>
      <c r="R10" s="21">
        <v>120238</v>
      </c>
      <c r="S10" s="21">
        <v>149100</v>
      </c>
      <c r="T10" s="21">
        <v>180272</v>
      </c>
      <c r="U10" s="21">
        <v>364108</v>
      </c>
      <c r="V10" s="21">
        <v>323679.84000000003</v>
      </c>
      <c r="W10" s="21"/>
    </row>
    <row r="11" spans="1:23" x14ac:dyDescent="0.25">
      <c r="B11" s="134"/>
      <c r="C11" s="134" t="s">
        <v>11</v>
      </c>
      <c r="D11" t="s">
        <v>7</v>
      </c>
      <c r="E11" s="29" t="str">
        <f>B$8&amp;" "&amp;C$11&amp;" "&amp;D11</f>
        <v>EV-U  Maui Peak</v>
      </c>
      <c r="F11" s="23" t="s">
        <v>33</v>
      </c>
      <c r="G11" s="23" t="s">
        <v>33</v>
      </c>
      <c r="H11" s="23" t="s">
        <v>33</v>
      </c>
      <c r="I11" s="23" t="s">
        <v>33</v>
      </c>
      <c r="J11" s="23" t="s">
        <v>33</v>
      </c>
      <c r="K11" s="23" t="s">
        <v>33</v>
      </c>
      <c r="L11" s="23" t="s">
        <v>33</v>
      </c>
      <c r="M11" s="21">
        <v>0</v>
      </c>
      <c r="N11" s="21">
        <v>0</v>
      </c>
      <c r="O11" s="21">
        <v>0</v>
      </c>
      <c r="P11" s="21">
        <v>0</v>
      </c>
      <c r="Q11" s="21">
        <v>80</v>
      </c>
      <c r="R11" s="21">
        <v>197</v>
      </c>
      <c r="S11" s="21">
        <v>2478</v>
      </c>
      <c r="T11" s="21">
        <v>2991</v>
      </c>
      <c r="U11" s="21">
        <v>3023</v>
      </c>
      <c r="V11" s="21">
        <v>4239.42</v>
      </c>
      <c r="W11" s="21"/>
    </row>
    <row r="12" spans="1:23" x14ac:dyDescent="0.25">
      <c r="B12" s="134"/>
      <c r="C12" s="134"/>
      <c r="D12" t="s">
        <v>8</v>
      </c>
      <c r="E12" s="29" t="str">
        <f t="shared" ref="E12:E13" si="2">B$8&amp;" "&amp;C$11&amp;" "&amp;D12</f>
        <v xml:space="preserve">EV-U  Maui Off peak </v>
      </c>
      <c r="F12" s="23" t="s">
        <v>33</v>
      </c>
      <c r="G12" s="23" t="s">
        <v>33</v>
      </c>
      <c r="H12" s="23" t="s">
        <v>33</v>
      </c>
      <c r="I12" s="23" t="s">
        <v>33</v>
      </c>
      <c r="J12" s="23" t="s">
        <v>33</v>
      </c>
      <c r="K12" s="23" t="s">
        <v>33</v>
      </c>
      <c r="L12" s="23" t="s">
        <v>33</v>
      </c>
      <c r="M12" s="21">
        <v>0</v>
      </c>
      <c r="N12" s="21">
        <v>0</v>
      </c>
      <c r="O12" s="21">
        <v>0</v>
      </c>
      <c r="P12" s="21">
        <v>0</v>
      </c>
      <c r="Q12" s="21">
        <v>99</v>
      </c>
      <c r="R12" s="21">
        <v>124</v>
      </c>
      <c r="S12" s="21">
        <v>2054</v>
      </c>
      <c r="T12" s="21">
        <v>3994</v>
      </c>
      <c r="U12" s="21">
        <v>2029</v>
      </c>
      <c r="V12" s="21">
        <v>2293.71</v>
      </c>
      <c r="W12" s="21"/>
    </row>
    <row r="13" spans="1:23" x14ac:dyDescent="0.25">
      <c r="B13" s="134"/>
      <c r="C13" s="134"/>
      <c r="D13" t="s">
        <v>47</v>
      </c>
      <c r="E13" s="29" t="str">
        <f t="shared" si="2"/>
        <v>EV-U  Maui Daytime</v>
      </c>
      <c r="F13" s="23" t="s">
        <v>33</v>
      </c>
      <c r="G13" s="23" t="s">
        <v>33</v>
      </c>
      <c r="H13" s="23" t="s">
        <v>33</v>
      </c>
      <c r="I13" s="23" t="s">
        <v>33</v>
      </c>
      <c r="J13" s="23" t="s">
        <v>33</v>
      </c>
      <c r="K13" s="23" t="s">
        <v>33</v>
      </c>
      <c r="L13" s="23" t="s">
        <v>33</v>
      </c>
      <c r="M13" s="21">
        <v>0</v>
      </c>
      <c r="N13" s="21">
        <v>2</v>
      </c>
      <c r="O13" s="21">
        <v>102.8</v>
      </c>
      <c r="P13" s="21">
        <v>63</v>
      </c>
      <c r="Q13" s="21">
        <v>45</v>
      </c>
      <c r="R13" s="21">
        <v>305</v>
      </c>
      <c r="S13" s="21">
        <v>6007</v>
      </c>
      <c r="T13" s="21">
        <v>11468</v>
      </c>
      <c r="U13" s="21">
        <v>9562</v>
      </c>
      <c r="V13" s="21">
        <v>11728.42</v>
      </c>
      <c r="W13" s="21"/>
    </row>
    <row r="14" spans="1:23" x14ac:dyDescent="0.25">
      <c r="B14" s="134"/>
      <c r="C14" s="134" t="s">
        <v>50</v>
      </c>
      <c r="D14" t="s">
        <v>7</v>
      </c>
      <c r="E14" s="29" t="str">
        <f>B$8&amp;" "&amp;C$14&amp;" "&amp;D14</f>
        <v>EV-U  Lāna‘i Peak</v>
      </c>
      <c r="F14" s="23" t="s">
        <v>33</v>
      </c>
      <c r="G14" s="23" t="s">
        <v>33</v>
      </c>
      <c r="H14" s="23" t="s">
        <v>33</v>
      </c>
      <c r="I14" s="23" t="s">
        <v>33</v>
      </c>
      <c r="J14" s="23" t="s">
        <v>33</v>
      </c>
      <c r="K14" s="23" t="s">
        <v>33</v>
      </c>
      <c r="L14" s="23" t="s">
        <v>33</v>
      </c>
      <c r="M14" s="23" t="s">
        <v>33</v>
      </c>
      <c r="N14" s="23" t="s">
        <v>33</v>
      </c>
      <c r="O14" s="23" t="s">
        <v>33</v>
      </c>
      <c r="P14" s="23" t="s">
        <v>33</v>
      </c>
      <c r="Q14" s="23" t="s">
        <v>33</v>
      </c>
      <c r="R14" s="23" t="s">
        <v>33</v>
      </c>
      <c r="S14" s="23" t="s">
        <v>33</v>
      </c>
      <c r="T14" s="23" t="s">
        <v>33</v>
      </c>
      <c r="U14" s="23" t="s">
        <v>33</v>
      </c>
      <c r="V14" s="23" t="s">
        <v>33</v>
      </c>
      <c r="W14" s="21"/>
    </row>
    <row r="15" spans="1:23" x14ac:dyDescent="0.25">
      <c r="B15" s="134"/>
      <c r="C15" s="134"/>
      <c r="D15" t="s">
        <v>8</v>
      </c>
      <c r="E15" s="29" t="str">
        <f t="shared" ref="E15:E16" si="3">B$8&amp;" "&amp;C$14&amp;" "&amp;D15</f>
        <v xml:space="preserve">EV-U  Lāna‘i Off peak </v>
      </c>
      <c r="F15" s="23" t="s">
        <v>33</v>
      </c>
      <c r="G15" s="23" t="s">
        <v>33</v>
      </c>
      <c r="H15" s="23" t="s">
        <v>33</v>
      </c>
      <c r="I15" s="23" t="s">
        <v>33</v>
      </c>
      <c r="J15" s="23" t="s">
        <v>33</v>
      </c>
      <c r="K15" s="23" t="s">
        <v>33</v>
      </c>
      <c r="L15" s="23" t="s">
        <v>33</v>
      </c>
      <c r="M15" s="23" t="s">
        <v>33</v>
      </c>
      <c r="N15" s="23" t="s">
        <v>33</v>
      </c>
      <c r="O15" s="23" t="s">
        <v>33</v>
      </c>
      <c r="P15" s="23" t="s">
        <v>33</v>
      </c>
      <c r="Q15" s="23" t="s">
        <v>33</v>
      </c>
      <c r="R15" s="23" t="s">
        <v>33</v>
      </c>
      <c r="S15" s="23" t="s">
        <v>33</v>
      </c>
      <c r="T15" s="23" t="s">
        <v>33</v>
      </c>
      <c r="U15" s="23" t="s">
        <v>33</v>
      </c>
      <c r="V15" s="23" t="s">
        <v>33</v>
      </c>
      <c r="W15" s="21"/>
    </row>
    <row r="16" spans="1:23" x14ac:dyDescent="0.25">
      <c r="B16" s="134"/>
      <c r="C16" s="134"/>
      <c r="D16" t="s">
        <v>47</v>
      </c>
      <c r="E16" s="29" t="str">
        <f t="shared" si="3"/>
        <v>EV-U  Lāna‘i Daytime</v>
      </c>
      <c r="F16" s="23" t="s">
        <v>33</v>
      </c>
      <c r="G16" s="23" t="s">
        <v>33</v>
      </c>
      <c r="H16" s="23" t="s">
        <v>33</v>
      </c>
      <c r="I16" s="23" t="s">
        <v>33</v>
      </c>
      <c r="J16" s="23" t="s">
        <v>33</v>
      </c>
      <c r="K16" s="23" t="s">
        <v>33</v>
      </c>
      <c r="L16" s="23" t="s">
        <v>33</v>
      </c>
      <c r="M16" s="23" t="s">
        <v>33</v>
      </c>
      <c r="N16" s="23" t="s">
        <v>33</v>
      </c>
      <c r="O16" s="23" t="s">
        <v>33</v>
      </c>
      <c r="P16" s="23" t="s">
        <v>33</v>
      </c>
      <c r="Q16" s="23" t="s">
        <v>33</v>
      </c>
      <c r="R16" s="23" t="s">
        <v>33</v>
      </c>
      <c r="S16" s="23" t="s">
        <v>33</v>
      </c>
      <c r="T16" s="23" t="s">
        <v>33</v>
      </c>
      <c r="U16" s="23" t="s">
        <v>33</v>
      </c>
      <c r="V16" s="23" t="s">
        <v>33</v>
      </c>
      <c r="W16" s="21"/>
    </row>
    <row r="17" spans="2:23" x14ac:dyDescent="0.25">
      <c r="B17" s="134"/>
      <c r="C17" s="134" t="s">
        <v>56</v>
      </c>
      <c r="D17" t="s">
        <v>7</v>
      </c>
      <c r="E17" s="29" t="str">
        <f>B$8&amp;" "&amp;C$17&amp;" "&amp;D17</f>
        <v>EV-U  Molokaʻi Peak</v>
      </c>
      <c r="F17" s="23" t="s">
        <v>33</v>
      </c>
      <c r="G17" s="23" t="s">
        <v>33</v>
      </c>
      <c r="H17" s="23" t="s">
        <v>33</v>
      </c>
      <c r="I17" s="23" t="s">
        <v>33</v>
      </c>
      <c r="J17" s="23" t="s">
        <v>33</v>
      </c>
      <c r="K17" s="23" t="s">
        <v>33</v>
      </c>
      <c r="L17" s="23" t="s">
        <v>33</v>
      </c>
      <c r="M17" s="23" t="s">
        <v>33</v>
      </c>
      <c r="N17" s="23" t="s">
        <v>33</v>
      </c>
      <c r="O17" s="23" t="s">
        <v>33</v>
      </c>
      <c r="P17" s="23" t="s">
        <v>33</v>
      </c>
      <c r="Q17" s="23" t="s">
        <v>33</v>
      </c>
      <c r="R17" s="21">
        <v>22</v>
      </c>
      <c r="S17" s="21">
        <v>126</v>
      </c>
      <c r="T17" s="21">
        <v>189</v>
      </c>
      <c r="U17" s="21">
        <v>180</v>
      </c>
      <c r="V17" s="21">
        <v>741.65</v>
      </c>
      <c r="W17" s="21"/>
    </row>
    <row r="18" spans="2:23" x14ac:dyDescent="0.25">
      <c r="B18" s="134"/>
      <c r="C18" s="134"/>
      <c r="D18" t="s">
        <v>8</v>
      </c>
      <c r="E18" s="29" t="str">
        <f t="shared" ref="E18:E19" si="4">B$8&amp;" "&amp;C$17&amp;" "&amp;D18</f>
        <v xml:space="preserve">EV-U  Molokaʻi Off peak </v>
      </c>
      <c r="F18" s="23" t="s">
        <v>33</v>
      </c>
      <c r="G18" s="23" t="s">
        <v>33</v>
      </c>
      <c r="H18" s="23" t="s">
        <v>33</v>
      </c>
      <c r="I18" s="23" t="s">
        <v>33</v>
      </c>
      <c r="J18" s="23" t="s">
        <v>33</v>
      </c>
      <c r="K18" s="23" t="s">
        <v>33</v>
      </c>
      <c r="L18" s="23" t="s">
        <v>33</v>
      </c>
      <c r="M18" s="23" t="s">
        <v>33</v>
      </c>
      <c r="N18" s="23" t="s">
        <v>33</v>
      </c>
      <c r="O18" s="23" t="s">
        <v>33</v>
      </c>
      <c r="P18" s="23" t="s">
        <v>33</v>
      </c>
      <c r="Q18" s="23" t="s">
        <v>33</v>
      </c>
      <c r="R18" s="21">
        <v>0</v>
      </c>
      <c r="S18" s="21">
        <v>120</v>
      </c>
      <c r="T18" s="21">
        <v>301</v>
      </c>
      <c r="U18" s="21">
        <v>501</v>
      </c>
      <c r="V18" s="21">
        <v>534.4</v>
      </c>
      <c r="W18" s="21"/>
    </row>
    <row r="19" spans="2:23" x14ac:dyDescent="0.25">
      <c r="B19" s="134"/>
      <c r="C19" s="134"/>
      <c r="D19" t="s">
        <v>47</v>
      </c>
      <c r="E19" s="29" t="str">
        <f t="shared" si="4"/>
        <v>EV-U  Molokaʻi Daytime</v>
      </c>
      <c r="F19" s="23" t="s">
        <v>33</v>
      </c>
      <c r="G19" s="23" t="s">
        <v>33</v>
      </c>
      <c r="H19" s="23" t="s">
        <v>33</v>
      </c>
      <c r="I19" s="23" t="s">
        <v>33</v>
      </c>
      <c r="J19" s="23" t="s">
        <v>33</v>
      </c>
      <c r="K19" s="23" t="s">
        <v>33</v>
      </c>
      <c r="L19" s="23" t="s">
        <v>33</v>
      </c>
      <c r="M19" s="23" t="s">
        <v>33</v>
      </c>
      <c r="N19" s="23" t="s">
        <v>33</v>
      </c>
      <c r="O19" s="23" t="s">
        <v>33</v>
      </c>
      <c r="P19" s="23" t="s">
        <v>33</v>
      </c>
      <c r="Q19" s="23" t="s">
        <v>33</v>
      </c>
      <c r="R19" s="21">
        <v>23</v>
      </c>
      <c r="S19" s="21">
        <v>1189</v>
      </c>
      <c r="T19" s="21">
        <v>1268</v>
      </c>
      <c r="U19" s="21">
        <v>1809</v>
      </c>
      <c r="V19" s="21">
        <v>6511.21</v>
      </c>
      <c r="W19" s="21"/>
    </row>
    <row r="20" spans="2:23" x14ac:dyDescent="0.25">
      <c r="B20" s="134"/>
      <c r="C20" s="134" t="s">
        <v>57</v>
      </c>
      <c r="D20" t="s">
        <v>7</v>
      </c>
      <c r="E20" s="29" t="str">
        <f>B$8&amp;" "&amp;C$20&amp;" "&amp;D20</f>
        <v>EV-U  Hawaiʻi Island Peak</v>
      </c>
      <c r="F20" s="23" t="s">
        <v>33</v>
      </c>
      <c r="G20" s="23" t="s">
        <v>33</v>
      </c>
      <c r="H20" s="23" t="s">
        <v>33</v>
      </c>
      <c r="I20" s="23" t="s">
        <v>33</v>
      </c>
      <c r="J20" s="23" t="s">
        <v>33</v>
      </c>
      <c r="K20" s="23" t="s">
        <v>33</v>
      </c>
      <c r="L20" s="23" t="s">
        <v>33</v>
      </c>
      <c r="M20" s="21">
        <v>0</v>
      </c>
      <c r="N20" s="21">
        <v>0</v>
      </c>
      <c r="O20" s="21">
        <v>0</v>
      </c>
      <c r="P20" s="21">
        <v>150</v>
      </c>
      <c r="Q20" s="21">
        <v>4397</v>
      </c>
      <c r="R20" s="21">
        <v>5728</v>
      </c>
      <c r="S20" s="21">
        <v>12685</v>
      </c>
      <c r="T20" s="21">
        <v>10820</v>
      </c>
      <c r="U20" s="21">
        <v>14044</v>
      </c>
      <c r="V20" s="21">
        <v>16250.02</v>
      </c>
      <c r="W20" s="21"/>
    </row>
    <row r="21" spans="2:23" x14ac:dyDescent="0.25">
      <c r="B21" s="134"/>
      <c r="C21" s="134"/>
      <c r="D21" t="s">
        <v>8</v>
      </c>
      <c r="E21" s="29" t="str">
        <f t="shared" ref="E21:E22" si="5">B$8&amp;" "&amp;C$20&amp;" "&amp;D21</f>
        <v xml:space="preserve">EV-U  Hawaiʻi Island Off peak </v>
      </c>
      <c r="F21" s="23" t="s">
        <v>33</v>
      </c>
      <c r="G21" s="23" t="s">
        <v>33</v>
      </c>
      <c r="H21" s="23" t="s">
        <v>33</v>
      </c>
      <c r="I21" s="23" t="s">
        <v>33</v>
      </c>
      <c r="J21" s="23" t="s">
        <v>33</v>
      </c>
      <c r="K21" s="23" t="s">
        <v>33</v>
      </c>
      <c r="L21" s="23" t="s">
        <v>33</v>
      </c>
      <c r="M21" s="21">
        <v>0</v>
      </c>
      <c r="N21" s="21">
        <v>0</v>
      </c>
      <c r="O21" s="21">
        <v>0</v>
      </c>
      <c r="P21" s="21">
        <v>169</v>
      </c>
      <c r="Q21" s="21">
        <v>4920</v>
      </c>
      <c r="R21" s="21">
        <v>7479</v>
      </c>
      <c r="S21" s="21">
        <v>14259</v>
      </c>
      <c r="T21" s="21">
        <v>11280</v>
      </c>
      <c r="U21" s="21">
        <v>9555</v>
      </c>
      <c r="V21" s="21">
        <v>19148.68</v>
      </c>
      <c r="W21" s="21"/>
    </row>
    <row r="22" spans="2:23" x14ac:dyDescent="0.25">
      <c r="B22" s="134"/>
      <c r="C22" s="134"/>
      <c r="D22" t="s">
        <v>47</v>
      </c>
      <c r="E22" s="29" t="str">
        <f t="shared" si="5"/>
        <v>EV-U  Hawaiʻi Island Daytime</v>
      </c>
      <c r="F22" s="23" t="s">
        <v>33</v>
      </c>
      <c r="G22" s="23" t="s">
        <v>33</v>
      </c>
      <c r="H22" s="23" t="s">
        <v>33</v>
      </c>
      <c r="I22" s="23" t="s">
        <v>33</v>
      </c>
      <c r="J22" s="23" t="s">
        <v>33</v>
      </c>
      <c r="K22" s="23" t="s">
        <v>33</v>
      </c>
      <c r="L22" s="23" t="s">
        <v>33</v>
      </c>
      <c r="M22" s="21">
        <v>0</v>
      </c>
      <c r="N22" s="21">
        <v>0</v>
      </c>
      <c r="O22" s="21">
        <v>0</v>
      </c>
      <c r="P22" s="21">
        <v>1539</v>
      </c>
      <c r="Q22" s="21">
        <v>11015</v>
      </c>
      <c r="R22" s="21">
        <v>21175</v>
      </c>
      <c r="S22" s="21">
        <v>38224</v>
      </c>
      <c r="T22" s="21">
        <v>46829</v>
      </c>
      <c r="U22" s="21">
        <v>50870</v>
      </c>
      <c r="V22" s="21">
        <v>57556.15</v>
      </c>
      <c r="W22" s="21"/>
    </row>
    <row r="23" spans="2:23" x14ac:dyDescent="0.25">
      <c r="B23" s="134" t="s">
        <v>9</v>
      </c>
      <c r="C23" s="134" t="s">
        <v>55</v>
      </c>
      <c r="D23" t="s">
        <v>7</v>
      </c>
      <c r="E23" s="29" t="str">
        <f>B$23&amp;" "&amp;C$23&amp;" "&amp;D23</f>
        <v>EV-F Oʻahu Peak</v>
      </c>
      <c r="F23" s="23" t="s">
        <v>33</v>
      </c>
      <c r="G23" s="23" t="s">
        <v>33</v>
      </c>
      <c r="H23" s="23" t="s">
        <v>33</v>
      </c>
      <c r="I23" s="23" t="s">
        <v>33</v>
      </c>
      <c r="J23" s="23" t="s">
        <v>33</v>
      </c>
      <c r="K23" s="23" t="s">
        <v>33</v>
      </c>
      <c r="L23" s="23" t="s">
        <v>33</v>
      </c>
      <c r="M23" s="23">
        <v>2336</v>
      </c>
      <c r="N23" s="23">
        <v>6083</v>
      </c>
      <c r="O23" s="23">
        <v>2127</v>
      </c>
      <c r="P23" s="23">
        <v>364</v>
      </c>
      <c r="Q23" s="23" t="s">
        <v>33</v>
      </c>
      <c r="R23" s="23" t="s">
        <v>33</v>
      </c>
      <c r="S23" s="23" t="s">
        <v>33</v>
      </c>
      <c r="T23" s="23" t="s">
        <v>33</v>
      </c>
      <c r="U23" s="23" t="s">
        <v>33</v>
      </c>
      <c r="V23" s="23" t="s">
        <v>33</v>
      </c>
      <c r="W23" s="21"/>
    </row>
    <row r="24" spans="2:23" x14ac:dyDescent="0.25">
      <c r="B24" s="134"/>
      <c r="C24" s="134"/>
      <c r="D24" t="s">
        <v>8</v>
      </c>
      <c r="E24" s="29" t="str">
        <f t="shared" ref="E24:E25" si="6">B$23&amp;" "&amp;C$23&amp;" "&amp;D24</f>
        <v xml:space="preserve">EV-F Oʻahu Off peak </v>
      </c>
      <c r="F24" s="23" t="s">
        <v>33</v>
      </c>
      <c r="G24" s="23" t="s">
        <v>33</v>
      </c>
      <c r="H24" s="23" t="s">
        <v>33</v>
      </c>
      <c r="I24" s="23" t="s">
        <v>33</v>
      </c>
      <c r="J24" s="23" t="s">
        <v>33</v>
      </c>
      <c r="K24" s="23" t="s">
        <v>33</v>
      </c>
      <c r="L24" s="23" t="s">
        <v>33</v>
      </c>
      <c r="M24" s="23">
        <v>1844</v>
      </c>
      <c r="N24" s="23">
        <v>5883</v>
      </c>
      <c r="O24" s="23">
        <v>2709</v>
      </c>
      <c r="P24" s="23">
        <v>820</v>
      </c>
      <c r="Q24" s="23" t="s">
        <v>33</v>
      </c>
      <c r="R24" s="23" t="s">
        <v>33</v>
      </c>
      <c r="S24" s="23" t="s">
        <v>33</v>
      </c>
      <c r="T24" s="23" t="s">
        <v>33</v>
      </c>
      <c r="U24" s="23" t="s">
        <v>33</v>
      </c>
      <c r="V24" s="23" t="s">
        <v>33</v>
      </c>
      <c r="W24" s="21"/>
    </row>
    <row r="25" spans="2:23" x14ac:dyDescent="0.25">
      <c r="B25" s="134"/>
      <c r="C25" s="134"/>
      <c r="D25" t="s">
        <v>47</v>
      </c>
      <c r="E25" s="29" t="str">
        <f t="shared" si="6"/>
        <v>EV-F Oʻahu Daytime</v>
      </c>
      <c r="F25" s="23" t="s">
        <v>33</v>
      </c>
      <c r="G25" s="23" t="s">
        <v>33</v>
      </c>
      <c r="H25" s="23" t="s">
        <v>33</v>
      </c>
      <c r="I25" s="23" t="s">
        <v>33</v>
      </c>
      <c r="J25" s="23" t="s">
        <v>33</v>
      </c>
      <c r="K25" s="23" t="s">
        <v>33</v>
      </c>
      <c r="L25" s="23" t="s">
        <v>33</v>
      </c>
      <c r="M25" s="23">
        <v>7143</v>
      </c>
      <c r="N25" s="23">
        <v>20667</v>
      </c>
      <c r="O25" s="23">
        <v>8342</v>
      </c>
      <c r="P25" s="23">
        <v>1337</v>
      </c>
      <c r="Q25" s="23" t="s">
        <v>33</v>
      </c>
      <c r="R25" s="23" t="s">
        <v>33</v>
      </c>
      <c r="S25" s="23" t="s">
        <v>33</v>
      </c>
      <c r="T25" s="23" t="s">
        <v>33</v>
      </c>
      <c r="U25" s="23" t="s">
        <v>33</v>
      </c>
      <c r="V25" s="23" t="s">
        <v>33</v>
      </c>
      <c r="W25" s="21"/>
    </row>
    <row r="26" spans="2:23" x14ac:dyDescent="0.25">
      <c r="B26" s="134"/>
      <c r="C26" s="134" t="s">
        <v>11</v>
      </c>
      <c r="D26" t="s">
        <v>7</v>
      </c>
      <c r="E26" s="29" t="str">
        <f>B$23&amp;" "&amp;C$26&amp;" "&amp;D26</f>
        <v>EV-F Maui Peak</v>
      </c>
      <c r="F26" s="23" t="s">
        <v>33</v>
      </c>
      <c r="G26" s="23" t="s">
        <v>33</v>
      </c>
      <c r="H26" s="23" t="s">
        <v>33</v>
      </c>
      <c r="I26" s="23" t="s">
        <v>33</v>
      </c>
      <c r="J26" s="23" t="s">
        <v>33</v>
      </c>
      <c r="K26" s="23" t="s">
        <v>33</v>
      </c>
      <c r="L26" s="23" t="s">
        <v>33</v>
      </c>
      <c r="M26" s="21">
        <v>0</v>
      </c>
      <c r="N26" s="21">
        <v>19444</v>
      </c>
      <c r="O26" s="21">
        <v>18660</v>
      </c>
      <c r="P26" s="21">
        <v>31033</v>
      </c>
      <c r="Q26" s="21">
        <v>43167</v>
      </c>
      <c r="R26" s="21">
        <v>40683</v>
      </c>
      <c r="S26" s="21">
        <v>26216</v>
      </c>
      <c r="T26" s="21">
        <v>9228</v>
      </c>
      <c r="U26" s="21">
        <v>1506</v>
      </c>
      <c r="V26" s="21">
        <v>1920</v>
      </c>
      <c r="W26" s="21"/>
    </row>
    <row r="27" spans="2:23" x14ac:dyDescent="0.25">
      <c r="B27" s="134"/>
      <c r="C27" s="134"/>
      <c r="D27" t="s">
        <v>8</v>
      </c>
      <c r="E27" s="29" t="str">
        <f t="shared" ref="E27:E28" si="7">B$23&amp;" "&amp;C$26&amp;" "&amp;D27</f>
        <v xml:space="preserve">EV-F Maui Off peak </v>
      </c>
      <c r="F27" s="23" t="s">
        <v>33</v>
      </c>
      <c r="G27" s="23" t="s">
        <v>33</v>
      </c>
      <c r="H27" s="23" t="s">
        <v>33</v>
      </c>
      <c r="I27" s="23" t="s">
        <v>33</v>
      </c>
      <c r="J27" s="23" t="s">
        <v>33</v>
      </c>
      <c r="K27" s="23" t="s">
        <v>33</v>
      </c>
      <c r="L27" s="23" t="s">
        <v>33</v>
      </c>
      <c r="M27" s="21">
        <v>0</v>
      </c>
      <c r="N27" s="21">
        <v>14017</v>
      </c>
      <c r="O27" s="21">
        <v>15004</v>
      </c>
      <c r="P27" s="21">
        <v>23502</v>
      </c>
      <c r="Q27" s="21">
        <v>39223</v>
      </c>
      <c r="R27" s="21">
        <v>40149</v>
      </c>
      <c r="S27" s="21">
        <v>27492</v>
      </c>
      <c r="T27" s="21">
        <v>14667</v>
      </c>
      <c r="U27" s="21">
        <v>2857</v>
      </c>
      <c r="V27" s="21">
        <v>970</v>
      </c>
      <c r="W27" s="21"/>
    </row>
    <row r="28" spans="2:23" x14ac:dyDescent="0.25">
      <c r="B28" s="134"/>
      <c r="C28" s="134"/>
      <c r="D28" t="s">
        <v>47</v>
      </c>
      <c r="E28" s="29" t="str">
        <f t="shared" si="7"/>
        <v>EV-F Maui Daytime</v>
      </c>
      <c r="F28" s="23" t="s">
        <v>33</v>
      </c>
      <c r="G28" s="23" t="s">
        <v>33</v>
      </c>
      <c r="H28" s="23" t="s">
        <v>33</v>
      </c>
      <c r="I28" s="23" t="s">
        <v>33</v>
      </c>
      <c r="J28" s="23" t="s">
        <v>33</v>
      </c>
      <c r="K28" s="23" t="s">
        <v>33</v>
      </c>
      <c r="L28" s="23" t="s">
        <v>33</v>
      </c>
      <c r="M28" s="21">
        <v>0</v>
      </c>
      <c r="N28" s="21">
        <v>71886</v>
      </c>
      <c r="O28" s="21">
        <v>74358</v>
      </c>
      <c r="P28" s="21">
        <v>120920</v>
      </c>
      <c r="Q28" s="21">
        <v>165458</v>
      </c>
      <c r="R28" s="21">
        <v>155294</v>
      </c>
      <c r="S28" s="21">
        <v>108200</v>
      </c>
      <c r="T28" s="21">
        <v>39866</v>
      </c>
      <c r="U28" s="21">
        <v>7042</v>
      </c>
      <c r="V28" s="21">
        <v>8765</v>
      </c>
      <c r="W28" s="21"/>
    </row>
    <row r="29" spans="2:23" x14ac:dyDescent="0.25">
      <c r="B29" s="134"/>
      <c r="C29" s="134" t="s">
        <v>50</v>
      </c>
      <c r="D29" t="s">
        <v>7</v>
      </c>
      <c r="E29" s="29" t="str">
        <f>B$23&amp;" "&amp;C$29&amp;" "&amp;D29</f>
        <v>EV-F Lāna‘i Peak</v>
      </c>
      <c r="F29" s="23" t="s">
        <v>33</v>
      </c>
      <c r="G29" s="23" t="s">
        <v>33</v>
      </c>
      <c r="H29" s="23" t="s">
        <v>33</v>
      </c>
      <c r="I29" s="23" t="s">
        <v>33</v>
      </c>
      <c r="J29" s="23" t="s">
        <v>33</v>
      </c>
      <c r="K29" s="23" t="s">
        <v>33</v>
      </c>
      <c r="L29" s="23" t="s">
        <v>33</v>
      </c>
      <c r="M29" s="23" t="s">
        <v>33</v>
      </c>
      <c r="N29" s="23" t="s">
        <v>33</v>
      </c>
      <c r="O29" s="23" t="s">
        <v>33</v>
      </c>
      <c r="P29" s="23" t="s">
        <v>33</v>
      </c>
      <c r="Q29" s="23" t="s">
        <v>33</v>
      </c>
      <c r="R29" s="23" t="s">
        <v>33</v>
      </c>
      <c r="S29" s="23" t="s">
        <v>33</v>
      </c>
      <c r="T29" s="23" t="s">
        <v>33</v>
      </c>
      <c r="U29" s="23" t="s">
        <v>33</v>
      </c>
      <c r="V29" s="23" t="s">
        <v>33</v>
      </c>
      <c r="W29" s="21"/>
    </row>
    <row r="30" spans="2:23" x14ac:dyDescent="0.25">
      <c r="B30" s="134"/>
      <c r="C30" s="134"/>
      <c r="D30" t="s">
        <v>8</v>
      </c>
      <c r="E30" s="29" t="str">
        <f t="shared" ref="E30:E31" si="8">B$23&amp;" "&amp;C$29&amp;" "&amp;D30</f>
        <v xml:space="preserve">EV-F Lāna‘i Off peak </v>
      </c>
      <c r="F30" s="23" t="s">
        <v>33</v>
      </c>
      <c r="G30" s="23" t="s">
        <v>33</v>
      </c>
      <c r="H30" s="23" t="s">
        <v>33</v>
      </c>
      <c r="I30" s="23" t="s">
        <v>33</v>
      </c>
      <c r="J30" s="23" t="s">
        <v>33</v>
      </c>
      <c r="K30" s="23" t="s">
        <v>33</v>
      </c>
      <c r="L30" s="23" t="s">
        <v>33</v>
      </c>
      <c r="M30" s="23" t="s">
        <v>33</v>
      </c>
      <c r="N30" s="23" t="s">
        <v>33</v>
      </c>
      <c r="O30" s="23" t="s">
        <v>33</v>
      </c>
      <c r="P30" s="23" t="s">
        <v>33</v>
      </c>
      <c r="Q30" s="23" t="s">
        <v>33</v>
      </c>
      <c r="R30" s="23" t="s">
        <v>33</v>
      </c>
      <c r="S30" s="23" t="s">
        <v>33</v>
      </c>
      <c r="T30" s="23" t="s">
        <v>33</v>
      </c>
      <c r="U30" s="23" t="s">
        <v>33</v>
      </c>
      <c r="V30" s="23" t="s">
        <v>33</v>
      </c>
      <c r="W30" s="21"/>
    </row>
    <row r="31" spans="2:23" x14ac:dyDescent="0.25">
      <c r="B31" s="134"/>
      <c r="C31" s="134"/>
      <c r="D31" t="s">
        <v>47</v>
      </c>
      <c r="E31" s="29" t="str">
        <f t="shared" si="8"/>
        <v>EV-F Lāna‘i Daytime</v>
      </c>
      <c r="F31" s="23" t="s">
        <v>33</v>
      </c>
      <c r="G31" s="23" t="s">
        <v>33</v>
      </c>
      <c r="H31" s="23" t="s">
        <v>33</v>
      </c>
      <c r="I31" s="23" t="s">
        <v>33</v>
      </c>
      <c r="J31" s="23" t="s">
        <v>33</v>
      </c>
      <c r="K31" s="23" t="s">
        <v>33</v>
      </c>
      <c r="L31" s="23" t="s">
        <v>33</v>
      </c>
      <c r="M31" s="23" t="s">
        <v>33</v>
      </c>
      <c r="N31" s="23" t="s">
        <v>33</v>
      </c>
      <c r="O31" s="23" t="s">
        <v>33</v>
      </c>
      <c r="P31" s="23" t="s">
        <v>33</v>
      </c>
      <c r="Q31" s="23" t="s">
        <v>33</v>
      </c>
      <c r="R31" s="23" t="s">
        <v>33</v>
      </c>
      <c r="S31" s="23" t="s">
        <v>33</v>
      </c>
      <c r="T31" s="23" t="s">
        <v>33</v>
      </c>
      <c r="U31" s="23" t="s">
        <v>33</v>
      </c>
      <c r="V31" s="23" t="s">
        <v>33</v>
      </c>
      <c r="W31" s="21"/>
    </row>
    <row r="32" spans="2:23" x14ac:dyDescent="0.25">
      <c r="B32" s="134"/>
      <c r="C32" s="134" t="s">
        <v>56</v>
      </c>
      <c r="D32" t="s">
        <v>7</v>
      </c>
      <c r="E32" s="29" t="str">
        <f>B$23&amp;" "&amp;C$32&amp;" "&amp;D32</f>
        <v>EV-F Molokaʻi Peak</v>
      </c>
      <c r="F32" s="23" t="s">
        <v>33</v>
      </c>
      <c r="G32" s="23" t="s">
        <v>33</v>
      </c>
      <c r="H32" s="23" t="s">
        <v>33</v>
      </c>
      <c r="I32" s="23" t="s">
        <v>33</v>
      </c>
      <c r="J32" s="23" t="s">
        <v>33</v>
      </c>
      <c r="K32" s="23" t="s">
        <v>33</v>
      </c>
      <c r="L32" s="23" t="s">
        <v>33</v>
      </c>
      <c r="M32" s="23" t="s">
        <v>33</v>
      </c>
      <c r="N32" s="23" t="s">
        <v>33</v>
      </c>
      <c r="O32" s="23" t="s">
        <v>33</v>
      </c>
      <c r="P32" s="23" t="s">
        <v>33</v>
      </c>
      <c r="Q32" s="23" t="s">
        <v>33</v>
      </c>
      <c r="R32" s="23" t="s">
        <v>33</v>
      </c>
      <c r="S32" s="23" t="s">
        <v>33</v>
      </c>
      <c r="T32" s="23" t="s">
        <v>33</v>
      </c>
      <c r="U32" s="23" t="s">
        <v>33</v>
      </c>
      <c r="V32" s="23" t="s">
        <v>33</v>
      </c>
      <c r="W32" s="21"/>
    </row>
    <row r="33" spans="2:23" x14ac:dyDescent="0.25">
      <c r="B33" s="134"/>
      <c r="C33" s="134"/>
      <c r="D33" t="s">
        <v>8</v>
      </c>
      <c r="E33" s="29" t="str">
        <f t="shared" ref="E33:E34" si="9">B$23&amp;" "&amp;C$32&amp;" "&amp;D33</f>
        <v xml:space="preserve">EV-F Molokaʻi Off peak </v>
      </c>
      <c r="F33" s="23" t="s">
        <v>33</v>
      </c>
      <c r="G33" s="23" t="s">
        <v>33</v>
      </c>
      <c r="H33" s="23" t="s">
        <v>33</v>
      </c>
      <c r="I33" s="23" t="s">
        <v>33</v>
      </c>
      <c r="J33" s="23" t="s">
        <v>33</v>
      </c>
      <c r="K33" s="23" t="s">
        <v>33</v>
      </c>
      <c r="L33" s="23" t="s">
        <v>33</v>
      </c>
      <c r="M33" s="23" t="s">
        <v>33</v>
      </c>
      <c r="N33" s="23" t="s">
        <v>33</v>
      </c>
      <c r="O33" s="23" t="s">
        <v>33</v>
      </c>
      <c r="P33" s="23" t="s">
        <v>33</v>
      </c>
      <c r="Q33" s="23" t="s">
        <v>33</v>
      </c>
      <c r="R33" s="23" t="s">
        <v>33</v>
      </c>
      <c r="S33" s="23" t="s">
        <v>33</v>
      </c>
      <c r="T33" s="23" t="s">
        <v>33</v>
      </c>
      <c r="U33" s="23" t="s">
        <v>33</v>
      </c>
      <c r="V33" s="23" t="s">
        <v>33</v>
      </c>
      <c r="W33" s="21"/>
    </row>
    <row r="34" spans="2:23" x14ac:dyDescent="0.25">
      <c r="B34" s="134"/>
      <c r="C34" s="134"/>
      <c r="D34" t="s">
        <v>47</v>
      </c>
      <c r="E34" s="29" t="str">
        <f t="shared" si="9"/>
        <v>EV-F Molokaʻi Daytime</v>
      </c>
      <c r="F34" s="23" t="s">
        <v>33</v>
      </c>
      <c r="G34" s="23" t="s">
        <v>33</v>
      </c>
      <c r="H34" s="23" t="s">
        <v>33</v>
      </c>
      <c r="I34" s="23" t="s">
        <v>33</v>
      </c>
      <c r="J34" s="23" t="s">
        <v>33</v>
      </c>
      <c r="K34" s="23" t="s">
        <v>33</v>
      </c>
      <c r="L34" s="23" t="s">
        <v>33</v>
      </c>
      <c r="M34" s="23" t="s">
        <v>33</v>
      </c>
      <c r="N34" s="23" t="s">
        <v>33</v>
      </c>
      <c r="O34" s="23" t="s">
        <v>33</v>
      </c>
      <c r="P34" s="23" t="s">
        <v>33</v>
      </c>
      <c r="Q34" s="23" t="s">
        <v>33</v>
      </c>
      <c r="R34" s="23" t="s">
        <v>33</v>
      </c>
      <c r="S34" s="23" t="s">
        <v>33</v>
      </c>
      <c r="T34" s="23" t="s">
        <v>33</v>
      </c>
      <c r="U34" s="23" t="s">
        <v>33</v>
      </c>
      <c r="V34" s="23" t="s">
        <v>33</v>
      </c>
      <c r="W34" s="21"/>
    </row>
    <row r="35" spans="2:23" x14ac:dyDescent="0.25">
      <c r="B35" s="134"/>
      <c r="C35" s="134" t="s">
        <v>57</v>
      </c>
      <c r="D35" t="s">
        <v>7</v>
      </c>
      <c r="E35" s="29" t="str">
        <f>B$23&amp;" "&amp;C$35&amp;" "&amp;D35</f>
        <v>EV-F Hawaiʻi Island Peak</v>
      </c>
      <c r="F35" s="23" t="s">
        <v>33</v>
      </c>
      <c r="G35" s="23" t="s">
        <v>33</v>
      </c>
      <c r="H35" s="23" t="s">
        <v>33</v>
      </c>
      <c r="I35" s="23" t="s">
        <v>33</v>
      </c>
      <c r="J35" s="23" t="s">
        <v>33</v>
      </c>
      <c r="K35" s="23" t="s">
        <v>33</v>
      </c>
      <c r="L35" s="23" t="s">
        <v>33</v>
      </c>
      <c r="M35" s="21">
        <v>0</v>
      </c>
      <c r="N35" s="21">
        <v>0</v>
      </c>
      <c r="O35" s="21">
        <v>206</v>
      </c>
      <c r="P35" s="21">
        <v>291</v>
      </c>
      <c r="Q35" s="21">
        <v>363</v>
      </c>
      <c r="R35" s="21">
        <v>1761</v>
      </c>
      <c r="S35" s="21">
        <v>3698</v>
      </c>
      <c r="T35" s="21">
        <v>9647</v>
      </c>
      <c r="U35" s="21">
        <v>15587</v>
      </c>
      <c r="V35" s="21">
        <v>18980</v>
      </c>
      <c r="W35" s="21"/>
    </row>
    <row r="36" spans="2:23" x14ac:dyDescent="0.25">
      <c r="B36" s="134"/>
      <c r="C36" s="134"/>
      <c r="D36" t="s">
        <v>8</v>
      </c>
      <c r="E36" s="29" t="str">
        <f t="shared" ref="E36:E37" si="10">B$23&amp;" "&amp;C$35&amp;" "&amp;D36</f>
        <v xml:space="preserve">EV-F Hawaiʻi Island Off peak </v>
      </c>
      <c r="F36" s="23" t="s">
        <v>33</v>
      </c>
      <c r="G36" s="23" t="s">
        <v>33</v>
      </c>
      <c r="H36" s="23" t="s">
        <v>33</v>
      </c>
      <c r="I36" s="23" t="s">
        <v>33</v>
      </c>
      <c r="J36" s="23" t="s">
        <v>33</v>
      </c>
      <c r="K36" s="23" t="s">
        <v>33</v>
      </c>
      <c r="L36" s="23" t="s">
        <v>33</v>
      </c>
      <c r="M36" s="21">
        <v>0</v>
      </c>
      <c r="N36" s="21">
        <v>0</v>
      </c>
      <c r="O36" s="21">
        <v>244</v>
      </c>
      <c r="P36" s="21">
        <v>264</v>
      </c>
      <c r="Q36" s="21">
        <v>475</v>
      </c>
      <c r="R36" s="21">
        <v>1818</v>
      </c>
      <c r="S36" s="21">
        <v>2805</v>
      </c>
      <c r="T36" s="21">
        <v>10421</v>
      </c>
      <c r="U36" s="21">
        <v>13899</v>
      </c>
      <c r="V36" s="21">
        <v>17926</v>
      </c>
      <c r="W36" s="21"/>
    </row>
    <row r="37" spans="2:23" x14ac:dyDescent="0.25">
      <c r="B37" s="134"/>
      <c r="C37" s="134"/>
      <c r="D37" t="s">
        <v>47</v>
      </c>
      <c r="E37" s="29" t="str">
        <f t="shared" si="10"/>
        <v>EV-F Hawaiʻi Island Daytime</v>
      </c>
      <c r="F37" s="23" t="s">
        <v>33</v>
      </c>
      <c r="G37" s="23" t="s">
        <v>33</v>
      </c>
      <c r="H37" s="23" t="s">
        <v>33</v>
      </c>
      <c r="I37" s="23" t="s">
        <v>33</v>
      </c>
      <c r="J37" s="23" t="s">
        <v>33</v>
      </c>
      <c r="K37" s="23" t="s">
        <v>33</v>
      </c>
      <c r="L37" s="23" t="s">
        <v>33</v>
      </c>
      <c r="M37" s="21">
        <v>0</v>
      </c>
      <c r="N37" s="21">
        <v>0</v>
      </c>
      <c r="O37" s="21">
        <v>741</v>
      </c>
      <c r="P37" s="21">
        <v>1625</v>
      </c>
      <c r="Q37" s="21">
        <v>2423</v>
      </c>
      <c r="R37" s="21">
        <v>5144</v>
      </c>
      <c r="S37" s="21">
        <v>12264</v>
      </c>
      <c r="T37" s="21">
        <v>14496</v>
      </c>
      <c r="U37" s="21">
        <v>22583</v>
      </c>
      <c r="V37" s="21">
        <v>29942</v>
      </c>
      <c r="W37" s="21"/>
    </row>
    <row r="38" spans="2:23" x14ac:dyDescent="0.25">
      <c r="B38" s="134" t="s">
        <v>10</v>
      </c>
      <c r="C38" s="134" t="s">
        <v>11</v>
      </c>
      <c r="D38" t="s">
        <v>7</v>
      </c>
      <c r="E38" s="29" t="str">
        <f>B$38&amp;" "&amp;C$38&amp;" "&amp;D38</f>
        <v>EV-MAUI Maui Peak</v>
      </c>
      <c r="F38" s="23" t="s">
        <v>33</v>
      </c>
      <c r="G38" s="23" t="s">
        <v>33</v>
      </c>
      <c r="H38" s="23" t="s">
        <v>33</v>
      </c>
      <c r="I38" s="23" t="s">
        <v>33</v>
      </c>
      <c r="J38" s="23" t="s">
        <v>33</v>
      </c>
      <c r="K38" s="23" t="s">
        <v>33</v>
      </c>
      <c r="L38" s="23" t="s">
        <v>33</v>
      </c>
      <c r="M38" s="23" t="s">
        <v>33</v>
      </c>
      <c r="N38" s="23" t="s">
        <v>33</v>
      </c>
      <c r="O38" s="23" t="s">
        <v>33</v>
      </c>
      <c r="P38" s="23" t="s">
        <v>33</v>
      </c>
      <c r="Q38" s="23" t="s">
        <v>33</v>
      </c>
      <c r="R38" s="23" t="s">
        <v>33</v>
      </c>
      <c r="S38" s="23" t="s">
        <v>33</v>
      </c>
      <c r="T38" s="21">
        <v>1027</v>
      </c>
      <c r="U38" s="21">
        <v>30769</v>
      </c>
      <c r="V38" s="21">
        <v>41211.19</v>
      </c>
    </row>
    <row r="39" spans="2:23" x14ac:dyDescent="0.25">
      <c r="B39" s="134"/>
      <c r="C39" s="134"/>
      <c r="D39" t="s">
        <v>8</v>
      </c>
      <c r="E39" s="29" t="str">
        <f t="shared" ref="E39:E40" si="11">B$38&amp;" "&amp;C$38&amp;" "&amp;D39</f>
        <v xml:space="preserve">EV-MAUI Maui Off peak </v>
      </c>
      <c r="F39" s="23" t="s">
        <v>33</v>
      </c>
      <c r="G39" s="23" t="s">
        <v>33</v>
      </c>
      <c r="H39" s="23" t="s">
        <v>33</v>
      </c>
      <c r="I39" s="23" t="s">
        <v>33</v>
      </c>
      <c r="J39" s="23" t="s">
        <v>33</v>
      </c>
      <c r="K39" s="23" t="s">
        <v>33</v>
      </c>
      <c r="L39" s="23" t="s">
        <v>33</v>
      </c>
      <c r="M39" s="23" t="s">
        <v>33</v>
      </c>
      <c r="N39" s="23" t="s">
        <v>33</v>
      </c>
      <c r="O39" s="23" t="s">
        <v>33</v>
      </c>
      <c r="P39" s="23" t="s">
        <v>33</v>
      </c>
      <c r="Q39" s="23" t="s">
        <v>33</v>
      </c>
      <c r="R39" s="23" t="s">
        <v>33</v>
      </c>
      <c r="S39" s="23" t="s">
        <v>33</v>
      </c>
      <c r="T39" s="21">
        <v>3234</v>
      </c>
      <c r="U39" s="21">
        <v>26273</v>
      </c>
      <c r="V39" s="21">
        <v>34557.56</v>
      </c>
    </row>
    <row r="40" spans="2:23" x14ac:dyDescent="0.25">
      <c r="B40" s="134"/>
      <c r="C40" s="134"/>
      <c r="D40" t="s">
        <v>47</v>
      </c>
      <c r="E40" s="29" t="str">
        <f t="shared" si="11"/>
        <v>EV-MAUI Maui Daytime</v>
      </c>
      <c r="F40" s="23" t="s">
        <v>33</v>
      </c>
      <c r="G40" s="23" t="s">
        <v>33</v>
      </c>
      <c r="H40" s="23" t="s">
        <v>33</v>
      </c>
      <c r="I40" s="23" t="s">
        <v>33</v>
      </c>
      <c r="J40" s="23" t="s">
        <v>33</v>
      </c>
      <c r="K40" s="23" t="s">
        <v>33</v>
      </c>
      <c r="L40" s="23" t="s">
        <v>33</v>
      </c>
      <c r="M40" s="23" t="s">
        <v>33</v>
      </c>
      <c r="N40" s="23" t="s">
        <v>33</v>
      </c>
      <c r="O40" s="23" t="s">
        <v>33</v>
      </c>
      <c r="P40" s="23" t="s">
        <v>33</v>
      </c>
      <c r="Q40" s="23" t="s">
        <v>33</v>
      </c>
      <c r="R40" s="23" t="s">
        <v>33</v>
      </c>
      <c r="S40" s="23" t="s">
        <v>33</v>
      </c>
      <c r="T40" s="21">
        <v>8872</v>
      </c>
      <c r="U40" s="21">
        <v>104267</v>
      </c>
      <c r="V40" s="21">
        <v>120782.56</v>
      </c>
    </row>
    <row r="41" spans="2:23" x14ac:dyDescent="0.25">
      <c r="B41" s="134" t="s">
        <v>13</v>
      </c>
      <c r="C41" s="134" t="s">
        <v>55</v>
      </c>
      <c r="D41" t="s">
        <v>7</v>
      </c>
      <c r="E41" s="29" t="str">
        <f>B$41&amp;" "&amp;C$41&amp;" "&amp;D41</f>
        <v>eBus Oʻahu Peak</v>
      </c>
      <c r="F41" s="23" t="s">
        <v>33</v>
      </c>
      <c r="G41" s="23" t="s">
        <v>33</v>
      </c>
      <c r="H41" s="23" t="s">
        <v>33</v>
      </c>
      <c r="I41" s="23" t="s">
        <v>33</v>
      </c>
      <c r="J41" s="23" t="s">
        <v>33</v>
      </c>
      <c r="K41" s="23" t="s">
        <v>33</v>
      </c>
      <c r="L41" s="23" t="s">
        <v>33</v>
      </c>
      <c r="M41" s="23" t="s">
        <v>33</v>
      </c>
      <c r="N41" s="23" t="s">
        <v>33</v>
      </c>
      <c r="O41" s="23" t="s">
        <v>33</v>
      </c>
      <c r="P41" s="23" t="s">
        <v>33</v>
      </c>
      <c r="Q41" s="23" t="s">
        <v>33</v>
      </c>
      <c r="R41" s="23" t="s">
        <v>33</v>
      </c>
      <c r="S41" s="21">
        <v>6250</v>
      </c>
      <c r="T41" s="21">
        <v>14400</v>
      </c>
      <c r="U41" s="21">
        <v>11317</v>
      </c>
      <c r="V41" s="21">
        <v>22983</v>
      </c>
    </row>
    <row r="42" spans="2:23" x14ac:dyDescent="0.25">
      <c r="B42" s="134"/>
      <c r="C42" s="134"/>
      <c r="D42" t="s">
        <v>8</v>
      </c>
      <c r="E42" s="29" t="str">
        <f t="shared" ref="E42:E43" si="12">B$41&amp;" "&amp;C$41&amp;" "&amp;D42</f>
        <v xml:space="preserve">eBus Oʻahu Off peak </v>
      </c>
      <c r="F42" s="23" t="s">
        <v>33</v>
      </c>
      <c r="G42" s="23" t="s">
        <v>33</v>
      </c>
      <c r="H42" s="23" t="s">
        <v>33</v>
      </c>
      <c r="I42" s="23" t="s">
        <v>33</v>
      </c>
      <c r="J42" s="23" t="s">
        <v>33</v>
      </c>
      <c r="K42" s="23" t="s">
        <v>33</v>
      </c>
      <c r="L42" s="23" t="s">
        <v>33</v>
      </c>
      <c r="M42" s="23" t="s">
        <v>33</v>
      </c>
      <c r="N42" s="23" t="s">
        <v>33</v>
      </c>
      <c r="O42" s="23" t="s">
        <v>33</v>
      </c>
      <c r="P42" s="23" t="s">
        <v>33</v>
      </c>
      <c r="Q42" s="23" t="s">
        <v>33</v>
      </c>
      <c r="R42" s="23" t="s">
        <v>33</v>
      </c>
      <c r="S42" s="21">
        <v>62200</v>
      </c>
      <c r="T42" s="21">
        <v>13350</v>
      </c>
      <c r="U42" s="21">
        <v>26110</v>
      </c>
      <c r="V42" s="21">
        <v>681231</v>
      </c>
    </row>
    <row r="43" spans="2:23" x14ac:dyDescent="0.25">
      <c r="B43" s="134"/>
      <c r="C43" s="134"/>
      <c r="D43" t="s">
        <v>47</v>
      </c>
      <c r="E43" s="29" t="str">
        <f t="shared" si="12"/>
        <v>eBus Oʻahu Daytime</v>
      </c>
      <c r="F43" s="23" t="s">
        <v>33</v>
      </c>
      <c r="G43" s="23" t="s">
        <v>33</v>
      </c>
      <c r="H43" s="23" t="s">
        <v>33</v>
      </c>
      <c r="I43" s="23" t="s">
        <v>33</v>
      </c>
      <c r="J43" s="23" t="s">
        <v>33</v>
      </c>
      <c r="K43" s="23" t="s">
        <v>33</v>
      </c>
      <c r="L43" s="23" t="s">
        <v>33</v>
      </c>
      <c r="M43" s="23" t="s">
        <v>33</v>
      </c>
      <c r="N43" s="23" t="s">
        <v>33</v>
      </c>
      <c r="O43" s="23" t="s">
        <v>33</v>
      </c>
      <c r="P43" s="23" t="s">
        <v>33</v>
      </c>
      <c r="Q43" s="23" t="s">
        <v>33</v>
      </c>
      <c r="R43" s="23" t="s">
        <v>33</v>
      </c>
      <c r="S43" s="21">
        <v>5850</v>
      </c>
      <c r="T43" s="21">
        <v>1800</v>
      </c>
      <c r="U43" s="21">
        <v>9175</v>
      </c>
      <c r="V43" s="21">
        <v>192064</v>
      </c>
    </row>
    <row r="44" spans="2:23" x14ac:dyDescent="0.25">
      <c r="B44" s="134"/>
      <c r="C44" s="134" t="s">
        <v>11</v>
      </c>
      <c r="D44" t="s">
        <v>7</v>
      </c>
      <c r="E44" s="29" t="str">
        <f>B$41&amp;" "&amp;C$44&amp;" "&amp;D44</f>
        <v>eBus Maui Peak</v>
      </c>
      <c r="F44" s="23" t="s">
        <v>33</v>
      </c>
      <c r="G44" s="23" t="s">
        <v>33</v>
      </c>
      <c r="H44" s="23" t="s">
        <v>33</v>
      </c>
      <c r="I44" s="23" t="s">
        <v>33</v>
      </c>
      <c r="J44" s="23" t="s">
        <v>33</v>
      </c>
      <c r="K44" s="23" t="s">
        <v>33</v>
      </c>
      <c r="L44" s="23" t="s">
        <v>33</v>
      </c>
      <c r="M44" s="23" t="s">
        <v>33</v>
      </c>
      <c r="N44" s="23" t="s">
        <v>33</v>
      </c>
      <c r="O44" s="23" t="s">
        <v>33</v>
      </c>
      <c r="P44" s="23" t="s">
        <v>33</v>
      </c>
      <c r="Q44" s="23" t="s">
        <v>33</v>
      </c>
      <c r="R44" s="23" t="s">
        <v>33</v>
      </c>
      <c r="S44" s="23" t="s">
        <v>33</v>
      </c>
      <c r="T44" s="23" t="s">
        <v>33</v>
      </c>
      <c r="U44" s="23" t="s">
        <v>33</v>
      </c>
    </row>
    <row r="45" spans="2:23" x14ac:dyDescent="0.25">
      <c r="B45" s="134"/>
      <c r="C45" s="134"/>
      <c r="D45" t="s">
        <v>8</v>
      </c>
      <c r="E45" s="29" t="str">
        <f t="shared" ref="E45:E46" si="13">B$41&amp;" "&amp;C$44&amp;" "&amp;D45</f>
        <v xml:space="preserve">eBus Maui Off peak </v>
      </c>
      <c r="F45" s="23" t="s">
        <v>33</v>
      </c>
      <c r="G45" s="23" t="s">
        <v>33</v>
      </c>
      <c r="H45" s="23" t="s">
        <v>33</v>
      </c>
      <c r="I45" s="23" t="s">
        <v>33</v>
      </c>
      <c r="J45" s="23" t="s">
        <v>33</v>
      </c>
      <c r="K45" s="23" t="s">
        <v>33</v>
      </c>
      <c r="L45" s="23" t="s">
        <v>33</v>
      </c>
      <c r="M45" s="23" t="s">
        <v>33</v>
      </c>
      <c r="N45" s="23" t="s">
        <v>33</v>
      </c>
      <c r="O45" s="23" t="s">
        <v>33</v>
      </c>
      <c r="P45" s="23" t="s">
        <v>33</v>
      </c>
      <c r="Q45" s="23" t="s">
        <v>33</v>
      </c>
      <c r="R45" s="23" t="s">
        <v>33</v>
      </c>
      <c r="S45" s="23" t="s">
        <v>33</v>
      </c>
      <c r="T45" s="23" t="s">
        <v>33</v>
      </c>
      <c r="U45" s="23" t="s">
        <v>33</v>
      </c>
    </row>
    <row r="46" spans="2:23" x14ac:dyDescent="0.25">
      <c r="B46" s="134"/>
      <c r="C46" s="134"/>
      <c r="D46" t="s">
        <v>47</v>
      </c>
      <c r="E46" s="29" t="str">
        <f t="shared" si="13"/>
        <v>eBus Maui Daytime</v>
      </c>
      <c r="F46" s="23" t="s">
        <v>33</v>
      </c>
      <c r="G46" s="23" t="s">
        <v>33</v>
      </c>
      <c r="H46" s="23" t="s">
        <v>33</v>
      </c>
      <c r="I46" s="23" t="s">
        <v>33</v>
      </c>
      <c r="J46" s="23" t="s">
        <v>33</v>
      </c>
      <c r="K46" s="23" t="s">
        <v>33</v>
      </c>
      <c r="L46" s="23" t="s">
        <v>33</v>
      </c>
      <c r="M46" s="23" t="s">
        <v>33</v>
      </c>
      <c r="N46" s="23" t="s">
        <v>33</v>
      </c>
      <c r="O46" s="23" t="s">
        <v>33</v>
      </c>
      <c r="P46" s="23" t="s">
        <v>33</v>
      </c>
      <c r="Q46" s="23" t="s">
        <v>33</v>
      </c>
      <c r="R46" s="23" t="s">
        <v>33</v>
      </c>
      <c r="S46" s="23" t="s">
        <v>33</v>
      </c>
      <c r="T46" s="23" t="s">
        <v>33</v>
      </c>
      <c r="U46" s="23" t="s">
        <v>33</v>
      </c>
    </row>
    <row r="47" spans="2:23" x14ac:dyDescent="0.25">
      <c r="B47" s="134"/>
      <c r="C47" s="134" t="s">
        <v>50</v>
      </c>
      <c r="D47" t="s">
        <v>7</v>
      </c>
      <c r="E47" s="29" t="str">
        <f>B$41&amp;" "&amp;C$47&amp;" "&amp;D47</f>
        <v>eBus Lāna‘i Peak</v>
      </c>
      <c r="F47" s="23" t="s">
        <v>33</v>
      </c>
      <c r="G47" s="23" t="s">
        <v>33</v>
      </c>
      <c r="H47" s="23" t="s">
        <v>33</v>
      </c>
      <c r="I47" s="23" t="s">
        <v>33</v>
      </c>
      <c r="J47" s="23" t="s">
        <v>33</v>
      </c>
      <c r="K47" s="23" t="s">
        <v>33</v>
      </c>
      <c r="L47" s="23" t="s">
        <v>33</v>
      </c>
      <c r="M47" s="23" t="s">
        <v>33</v>
      </c>
      <c r="N47" s="23" t="s">
        <v>33</v>
      </c>
      <c r="O47" s="23" t="s">
        <v>33</v>
      </c>
      <c r="P47" s="23" t="s">
        <v>33</v>
      </c>
      <c r="Q47" s="23" t="s">
        <v>33</v>
      </c>
      <c r="R47" s="23" t="s">
        <v>33</v>
      </c>
      <c r="S47" s="23" t="s">
        <v>33</v>
      </c>
      <c r="T47" s="23" t="s">
        <v>33</v>
      </c>
      <c r="U47" s="23" t="s">
        <v>33</v>
      </c>
    </row>
    <row r="48" spans="2:23" x14ac:dyDescent="0.25">
      <c r="B48" s="134"/>
      <c r="C48" s="134"/>
      <c r="D48" t="s">
        <v>8</v>
      </c>
      <c r="E48" s="29" t="str">
        <f t="shared" ref="E48:E49" si="14">B$41&amp;" "&amp;C$47&amp;" "&amp;D48</f>
        <v xml:space="preserve">eBus Lāna‘i Off peak </v>
      </c>
      <c r="F48" s="23" t="s">
        <v>33</v>
      </c>
      <c r="G48" s="23" t="s">
        <v>33</v>
      </c>
      <c r="H48" s="23" t="s">
        <v>33</v>
      </c>
      <c r="I48" s="23" t="s">
        <v>33</v>
      </c>
      <c r="J48" s="23" t="s">
        <v>33</v>
      </c>
      <c r="K48" s="23" t="s">
        <v>33</v>
      </c>
      <c r="L48" s="23" t="s">
        <v>33</v>
      </c>
      <c r="M48" s="23" t="s">
        <v>33</v>
      </c>
      <c r="N48" s="23" t="s">
        <v>33</v>
      </c>
      <c r="O48" s="23" t="s">
        <v>33</v>
      </c>
      <c r="P48" s="23" t="s">
        <v>33</v>
      </c>
      <c r="Q48" s="23" t="s">
        <v>33</v>
      </c>
      <c r="R48" s="23" t="s">
        <v>33</v>
      </c>
      <c r="S48" s="23" t="s">
        <v>33</v>
      </c>
      <c r="T48" s="23" t="s">
        <v>33</v>
      </c>
      <c r="U48" s="23" t="s">
        <v>33</v>
      </c>
    </row>
    <row r="49" spans="1:23" x14ac:dyDescent="0.25">
      <c r="B49" s="134"/>
      <c r="C49" s="134"/>
      <c r="D49" t="s">
        <v>47</v>
      </c>
      <c r="E49" s="29" t="str">
        <f t="shared" si="14"/>
        <v>eBus Lāna‘i Daytime</v>
      </c>
      <c r="F49" s="23" t="s">
        <v>33</v>
      </c>
      <c r="G49" s="23" t="s">
        <v>33</v>
      </c>
      <c r="H49" s="23" t="s">
        <v>33</v>
      </c>
      <c r="I49" s="23" t="s">
        <v>33</v>
      </c>
      <c r="J49" s="23" t="s">
        <v>33</v>
      </c>
      <c r="K49" s="23" t="s">
        <v>33</v>
      </c>
      <c r="L49" s="23" t="s">
        <v>33</v>
      </c>
      <c r="M49" s="23" t="s">
        <v>33</v>
      </c>
      <c r="N49" s="23" t="s">
        <v>33</v>
      </c>
      <c r="O49" s="23" t="s">
        <v>33</v>
      </c>
      <c r="P49" s="23" t="s">
        <v>33</v>
      </c>
      <c r="Q49" s="23" t="s">
        <v>33</v>
      </c>
      <c r="R49" s="23" t="s">
        <v>33</v>
      </c>
      <c r="S49" s="23" t="s">
        <v>33</v>
      </c>
      <c r="T49" s="23" t="s">
        <v>33</v>
      </c>
      <c r="U49" s="23" t="s">
        <v>33</v>
      </c>
    </row>
    <row r="50" spans="1:23" x14ac:dyDescent="0.25">
      <c r="B50" s="134"/>
      <c r="C50" s="134" t="s">
        <v>56</v>
      </c>
      <c r="D50" t="s">
        <v>7</v>
      </c>
      <c r="E50" s="29" t="str">
        <f>B$41&amp;" "&amp;C$50&amp;" "&amp;D50</f>
        <v>eBus Molokaʻi Peak</v>
      </c>
      <c r="F50" s="23" t="s">
        <v>33</v>
      </c>
      <c r="G50" s="23" t="s">
        <v>33</v>
      </c>
      <c r="H50" s="23" t="s">
        <v>33</v>
      </c>
      <c r="I50" s="23" t="s">
        <v>33</v>
      </c>
      <c r="J50" s="23" t="s">
        <v>33</v>
      </c>
      <c r="K50" s="23" t="s">
        <v>33</v>
      </c>
      <c r="L50" s="23" t="s">
        <v>33</v>
      </c>
      <c r="M50" s="23" t="s">
        <v>33</v>
      </c>
      <c r="N50" s="23" t="s">
        <v>33</v>
      </c>
      <c r="O50" s="23" t="s">
        <v>33</v>
      </c>
      <c r="P50" s="23" t="s">
        <v>33</v>
      </c>
      <c r="Q50" s="23" t="s">
        <v>33</v>
      </c>
      <c r="R50" s="23" t="s">
        <v>33</v>
      </c>
      <c r="S50" s="23" t="s">
        <v>33</v>
      </c>
      <c r="T50" s="23" t="s">
        <v>33</v>
      </c>
      <c r="U50" s="23" t="s">
        <v>33</v>
      </c>
    </row>
    <row r="51" spans="1:23" x14ac:dyDescent="0.25">
      <c r="B51" s="134"/>
      <c r="C51" s="134"/>
      <c r="D51" t="s">
        <v>8</v>
      </c>
      <c r="E51" s="29" t="str">
        <f t="shared" ref="E51:E52" si="15">B$41&amp;" "&amp;C$50&amp;" "&amp;D51</f>
        <v xml:space="preserve">eBus Molokaʻi Off peak </v>
      </c>
      <c r="F51" s="23" t="s">
        <v>33</v>
      </c>
      <c r="G51" s="23" t="s">
        <v>33</v>
      </c>
      <c r="H51" s="23" t="s">
        <v>33</v>
      </c>
      <c r="I51" s="23" t="s">
        <v>33</v>
      </c>
      <c r="J51" s="23" t="s">
        <v>33</v>
      </c>
      <c r="K51" s="23" t="s">
        <v>33</v>
      </c>
      <c r="L51" s="23" t="s">
        <v>33</v>
      </c>
      <c r="M51" s="23" t="s">
        <v>33</v>
      </c>
      <c r="N51" s="23" t="s">
        <v>33</v>
      </c>
      <c r="O51" s="23" t="s">
        <v>33</v>
      </c>
      <c r="P51" s="23" t="s">
        <v>33</v>
      </c>
      <c r="Q51" s="23" t="s">
        <v>33</v>
      </c>
      <c r="R51" s="23" t="s">
        <v>33</v>
      </c>
      <c r="S51" s="23" t="s">
        <v>33</v>
      </c>
      <c r="T51" s="23" t="s">
        <v>33</v>
      </c>
      <c r="U51" s="23" t="s">
        <v>33</v>
      </c>
    </row>
    <row r="52" spans="1:23" x14ac:dyDescent="0.25">
      <c r="B52" s="134"/>
      <c r="C52" s="134"/>
      <c r="D52" t="s">
        <v>47</v>
      </c>
      <c r="E52" s="29" t="str">
        <f t="shared" si="15"/>
        <v>eBus Molokaʻi Daytime</v>
      </c>
      <c r="F52" s="23" t="s">
        <v>33</v>
      </c>
      <c r="G52" s="23" t="s">
        <v>33</v>
      </c>
      <c r="H52" s="23" t="s">
        <v>33</v>
      </c>
      <c r="I52" s="23" t="s">
        <v>33</v>
      </c>
      <c r="J52" s="23" t="s">
        <v>33</v>
      </c>
      <c r="K52" s="23" t="s">
        <v>33</v>
      </c>
      <c r="L52" s="23" t="s">
        <v>33</v>
      </c>
      <c r="M52" s="23" t="s">
        <v>33</v>
      </c>
      <c r="N52" s="23" t="s">
        <v>33</v>
      </c>
      <c r="O52" s="23" t="s">
        <v>33</v>
      </c>
      <c r="P52" s="23" t="s">
        <v>33</v>
      </c>
      <c r="Q52" s="23" t="s">
        <v>33</v>
      </c>
      <c r="R52" s="23" t="s">
        <v>33</v>
      </c>
      <c r="S52" s="23" t="s">
        <v>33</v>
      </c>
      <c r="T52" s="23" t="s">
        <v>33</v>
      </c>
      <c r="U52" s="23" t="s">
        <v>33</v>
      </c>
    </row>
    <row r="53" spans="1:23" x14ac:dyDescent="0.25">
      <c r="B53" s="134"/>
      <c r="C53" s="134" t="s">
        <v>57</v>
      </c>
      <c r="D53" t="s">
        <v>7</v>
      </c>
      <c r="E53" s="29" t="str">
        <f>B$41&amp;" "&amp;C$53&amp;" "&amp;D53</f>
        <v>eBus Hawaiʻi Island Peak</v>
      </c>
      <c r="F53" s="23" t="s">
        <v>33</v>
      </c>
      <c r="G53" s="23" t="s">
        <v>33</v>
      </c>
      <c r="H53" s="23" t="s">
        <v>33</v>
      </c>
      <c r="I53" s="23" t="s">
        <v>33</v>
      </c>
      <c r="J53" s="23" t="s">
        <v>33</v>
      </c>
      <c r="K53" s="23" t="s">
        <v>33</v>
      </c>
      <c r="L53" s="23" t="s">
        <v>33</v>
      </c>
      <c r="M53" s="23" t="s">
        <v>33</v>
      </c>
      <c r="N53" s="23" t="s">
        <v>33</v>
      </c>
      <c r="O53" s="23" t="s">
        <v>33</v>
      </c>
      <c r="P53" s="23" t="s">
        <v>33</v>
      </c>
      <c r="Q53" s="23" t="s">
        <v>33</v>
      </c>
      <c r="R53" s="23" t="s">
        <v>33</v>
      </c>
      <c r="S53" s="23" t="s">
        <v>33</v>
      </c>
      <c r="T53" s="23" t="s">
        <v>33</v>
      </c>
      <c r="U53" s="23" t="s">
        <v>33</v>
      </c>
    </row>
    <row r="54" spans="1:23" x14ac:dyDescent="0.25">
      <c r="B54" s="134"/>
      <c r="C54" s="134"/>
      <c r="D54" t="s">
        <v>8</v>
      </c>
      <c r="E54" s="29" t="str">
        <f t="shared" ref="E54:E55" si="16">B$41&amp;" "&amp;C$53&amp;" "&amp;D54</f>
        <v xml:space="preserve">eBus Hawaiʻi Island Off peak </v>
      </c>
      <c r="F54" s="23" t="s">
        <v>33</v>
      </c>
      <c r="G54" s="23" t="s">
        <v>33</v>
      </c>
      <c r="H54" s="23" t="s">
        <v>33</v>
      </c>
      <c r="I54" s="23" t="s">
        <v>33</v>
      </c>
      <c r="J54" s="23" t="s">
        <v>33</v>
      </c>
      <c r="K54" s="23" t="s">
        <v>33</v>
      </c>
      <c r="L54" s="23" t="s">
        <v>33</v>
      </c>
      <c r="M54" s="23" t="s">
        <v>33</v>
      </c>
      <c r="N54" s="23" t="s">
        <v>33</v>
      </c>
      <c r="O54" s="23" t="s">
        <v>33</v>
      </c>
      <c r="P54" s="23" t="s">
        <v>33</v>
      </c>
      <c r="Q54" s="23" t="s">
        <v>33</v>
      </c>
      <c r="R54" s="23" t="s">
        <v>33</v>
      </c>
      <c r="S54" s="23" t="s">
        <v>33</v>
      </c>
      <c r="T54" s="23" t="s">
        <v>33</v>
      </c>
      <c r="U54" s="23" t="s">
        <v>33</v>
      </c>
    </row>
    <row r="55" spans="1:23" x14ac:dyDescent="0.25">
      <c r="B55" s="134"/>
      <c r="C55" s="134"/>
      <c r="D55" t="s">
        <v>47</v>
      </c>
      <c r="E55" s="29" t="str">
        <f t="shared" si="16"/>
        <v>eBus Hawaiʻi Island Daytime</v>
      </c>
      <c r="F55" s="23" t="s">
        <v>33</v>
      </c>
      <c r="G55" s="23" t="s">
        <v>33</v>
      </c>
      <c r="H55" s="23" t="s">
        <v>33</v>
      </c>
      <c r="I55" s="23" t="s">
        <v>33</v>
      </c>
      <c r="J55" s="23" t="s">
        <v>33</v>
      </c>
      <c r="K55" s="23" t="s">
        <v>33</v>
      </c>
      <c r="L55" s="23" t="s">
        <v>33</v>
      </c>
      <c r="M55" s="23" t="s">
        <v>33</v>
      </c>
      <c r="N55" s="23" t="s">
        <v>33</v>
      </c>
      <c r="O55" s="23" t="s">
        <v>33</v>
      </c>
      <c r="P55" s="23" t="s">
        <v>33</v>
      </c>
      <c r="Q55" s="23" t="s">
        <v>33</v>
      </c>
      <c r="R55" s="23" t="s">
        <v>33</v>
      </c>
      <c r="S55" s="23" t="s">
        <v>33</v>
      </c>
      <c r="T55" s="23" t="s">
        <v>33</v>
      </c>
      <c r="U55" s="23" t="s">
        <v>33</v>
      </c>
    </row>
    <row r="56" spans="1:23" s="29" customFormat="1" x14ac:dyDescent="0.25">
      <c r="B56" s="22"/>
      <c r="C56" s="22"/>
      <c r="F56" s="23"/>
      <c r="H56" s="23"/>
      <c r="I56" s="23"/>
      <c r="K56" s="23"/>
      <c r="L56" s="23"/>
      <c r="T56" s="23"/>
      <c r="U56" s="23"/>
      <c r="V56" s="23"/>
      <c r="W56" s="23"/>
    </row>
    <row r="57" spans="1:23" s="68" customFormat="1" ht="31.5" x14ac:dyDescent="0.25">
      <c r="A57" s="35"/>
      <c r="B57" s="129" t="s">
        <v>58</v>
      </c>
      <c r="C57" s="130"/>
      <c r="D57" s="133"/>
      <c r="E57" s="80" t="s">
        <v>64</v>
      </c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66"/>
    </row>
    <row r="58" spans="1:23" s="67" customFormat="1" ht="15.75" x14ac:dyDescent="0.25">
      <c r="A58" s="29"/>
      <c r="B58" s="57"/>
      <c r="C58" s="58" t="s">
        <v>37</v>
      </c>
      <c r="D58" s="75" t="s">
        <v>59</v>
      </c>
      <c r="E58" s="63"/>
      <c r="F58" s="63">
        <f t="shared" ref="F58:V58" si="17">F6</f>
        <v>2006</v>
      </c>
      <c r="G58" s="63">
        <f t="shared" si="17"/>
        <v>2007</v>
      </c>
      <c r="H58" s="63">
        <f t="shared" si="17"/>
        <v>2008</v>
      </c>
      <c r="I58" s="63">
        <f t="shared" si="17"/>
        <v>2009</v>
      </c>
      <c r="J58" s="63">
        <f t="shared" si="17"/>
        <v>2010</v>
      </c>
      <c r="K58" s="63">
        <f t="shared" si="17"/>
        <v>2011</v>
      </c>
      <c r="L58" s="63">
        <f t="shared" si="17"/>
        <v>2012</v>
      </c>
      <c r="M58" s="63">
        <f t="shared" si="17"/>
        <v>2013</v>
      </c>
      <c r="N58" s="63">
        <f t="shared" si="17"/>
        <v>2014</v>
      </c>
      <c r="O58" s="63">
        <f t="shared" si="17"/>
        <v>2015</v>
      </c>
      <c r="P58" s="63">
        <f t="shared" si="17"/>
        <v>2016</v>
      </c>
      <c r="Q58" s="63">
        <f t="shared" si="17"/>
        <v>2017</v>
      </c>
      <c r="R58" s="63">
        <f t="shared" si="17"/>
        <v>2018</v>
      </c>
      <c r="S58" s="63">
        <f t="shared" si="17"/>
        <v>2019</v>
      </c>
      <c r="T58" s="63">
        <f t="shared" si="17"/>
        <v>2020</v>
      </c>
      <c r="U58" s="63">
        <f t="shared" si="17"/>
        <v>2021</v>
      </c>
      <c r="V58" s="63">
        <f t="shared" si="17"/>
        <v>2022</v>
      </c>
      <c r="W58" s="63"/>
    </row>
    <row r="59" spans="1:23" s="29" customFormat="1" ht="30" x14ac:dyDescent="0.25">
      <c r="B59" s="57"/>
      <c r="C59" s="58" t="s">
        <v>38</v>
      </c>
      <c r="D59" s="14" t="s">
        <v>63</v>
      </c>
      <c r="E59" s="63" t="str">
        <f>C60&amp;" "&amp;D60</f>
        <v>Total Peak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6">
        <f t="shared" ref="M59:P61" si="18">M8+M11+M20+M23+M26+M35</f>
        <v>2336</v>
      </c>
      <c r="N59" s="56">
        <f t="shared" si="18"/>
        <v>25527</v>
      </c>
      <c r="O59" s="56">
        <f t="shared" si="18"/>
        <v>21083.7</v>
      </c>
      <c r="P59" s="56">
        <f t="shared" si="18"/>
        <v>44409</v>
      </c>
      <c r="Q59" s="56">
        <f>Q8+Q11+Q20+Q26+Q35</f>
        <v>106246</v>
      </c>
      <c r="R59" s="56">
        <f>R8+R11+R17+R20+R26+R35</f>
        <v>108294</v>
      </c>
      <c r="S59" s="56">
        <f>S8+S11+S17+S20+S26+S35+S41</f>
        <v>124064</v>
      </c>
      <c r="T59" s="56">
        <f t="shared" ref="T59:U61" si="19">T8+T11+T17+T20+T26+T35+T38+T41</f>
        <v>130349</v>
      </c>
      <c r="U59" s="56">
        <f t="shared" si="19"/>
        <v>256441</v>
      </c>
      <c r="V59" s="56">
        <f t="shared" ref="V59" si="20">V8+V11+V17+V20+V26+V35+V38+V41</f>
        <v>269343.89</v>
      </c>
    </row>
    <row r="60" spans="1:23" s="29" customFormat="1" ht="15.75" x14ac:dyDescent="0.25">
      <c r="B60" s="57"/>
      <c r="C60" s="136" t="s">
        <v>32</v>
      </c>
      <c r="D60" s="29" t="s">
        <v>7</v>
      </c>
      <c r="E60" s="63" t="str">
        <f t="shared" ref="E60:E61" si="21">C61&amp;" "&amp;D61</f>
        <v xml:space="preserve"> Off peak 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6">
        <f t="shared" si="18"/>
        <v>1844</v>
      </c>
      <c r="N60" s="56">
        <f t="shared" si="18"/>
        <v>19900</v>
      </c>
      <c r="O60" s="56">
        <f t="shared" si="18"/>
        <v>17984.8</v>
      </c>
      <c r="P60" s="56">
        <f t="shared" si="18"/>
        <v>39172</v>
      </c>
      <c r="Q60" s="56">
        <f>Q9+Q12+Q21+Q27+Q36</f>
        <v>95523</v>
      </c>
      <c r="R60" s="56">
        <f>R9+R12+R18+R21+R27+R36</f>
        <v>93113</v>
      </c>
      <c r="S60" s="56">
        <f>S9+S12+S18+S21+S27+S36+S42</f>
        <v>161529</v>
      </c>
      <c r="T60" s="56">
        <f t="shared" si="19"/>
        <v>117804</v>
      </c>
      <c r="U60" s="56">
        <f t="shared" si="19"/>
        <v>230731</v>
      </c>
      <c r="V60" s="56">
        <f t="shared" ref="V60" si="22">V9+V12+V18+V21+V27+V36+V39+V42</f>
        <v>883594.69</v>
      </c>
    </row>
    <row r="61" spans="1:23" s="29" customFormat="1" ht="15.75" x14ac:dyDescent="0.25">
      <c r="B61" s="57"/>
      <c r="C61" s="136"/>
      <c r="D61" s="57" t="s">
        <v>8</v>
      </c>
      <c r="E61" s="63" t="str">
        <f t="shared" si="21"/>
        <v xml:space="preserve"> Daytime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6">
        <f t="shared" si="18"/>
        <v>7143</v>
      </c>
      <c r="N61" s="56">
        <f t="shared" si="18"/>
        <v>92555</v>
      </c>
      <c r="O61" s="56">
        <f t="shared" si="18"/>
        <v>85017.8</v>
      </c>
      <c r="P61" s="56">
        <f t="shared" si="18"/>
        <v>166174</v>
      </c>
      <c r="Q61" s="56">
        <f>Q10+Q13+Q22+Q28+Q37</f>
        <v>275958</v>
      </c>
      <c r="R61" s="56">
        <f>R10+R13+R19+R22+R28+R37</f>
        <v>302179</v>
      </c>
      <c r="S61" s="56">
        <f>S10+S13+S19+S22+S28+S37+S43</f>
        <v>320834</v>
      </c>
      <c r="T61" s="56">
        <f t="shared" si="19"/>
        <v>304871</v>
      </c>
      <c r="U61" s="56">
        <f t="shared" si="19"/>
        <v>569416</v>
      </c>
      <c r="V61" s="56">
        <f t="shared" ref="V61" si="23">V10+V13+V19+V22+V28+V37+V40+V43</f>
        <v>751029.18</v>
      </c>
    </row>
    <row r="62" spans="1:23" s="29" customFormat="1" x14ac:dyDescent="0.25">
      <c r="B62" s="57"/>
      <c r="C62" s="136"/>
      <c r="D62" s="57" t="s">
        <v>47</v>
      </c>
    </row>
    <row r="63" spans="1:23" s="29" customFormat="1" x14ac:dyDescent="0.25">
      <c r="B63" s="57"/>
      <c r="C63" s="136"/>
      <c r="D63" s="57" t="s">
        <v>48</v>
      </c>
    </row>
    <row r="64" spans="1:23" s="29" customFormat="1" x14ac:dyDescent="0.25">
      <c r="B64" s="57"/>
      <c r="C64" s="136"/>
      <c r="D64" s="59"/>
    </row>
    <row r="65" spans="1:23" s="68" customFormat="1" ht="31.5" x14ac:dyDescent="0.25">
      <c r="A65" s="35"/>
      <c r="B65" s="129" t="s">
        <v>58</v>
      </c>
      <c r="C65" s="130"/>
      <c r="D65" s="133"/>
      <c r="E65" s="80" t="s">
        <v>65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66"/>
    </row>
    <row r="66" spans="1:23" s="67" customFormat="1" ht="15.75" x14ac:dyDescent="0.25">
      <c r="A66" s="29"/>
      <c r="B66" s="29"/>
      <c r="C66" s="37" t="s">
        <v>37</v>
      </c>
      <c r="D66" s="29" t="s">
        <v>59</v>
      </c>
      <c r="E66" s="63"/>
      <c r="F66" s="63">
        <f t="shared" ref="F66:V66" si="24">F$58</f>
        <v>2006</v>
      </c>
      <c r="G66" s="63">
        <f t="shared" si="24"/>
        <v>2007</v>
      </c>
      <c r="H66" s="63">
        <f t="shared" si="24"/>
        <v>2008</v>
      </c>
      <c r="I66" s="63">
        <f t="shared" si="24"/>
        <v>2009</v>
      </c>
      <c r="J66" s="63">
        <f t="shared" si="24"/>
        <v>2010</v>
      </c>
      <c r="K66" s="63">
        <f t="shared" si="24"/>
        <v>2011</v>
      </c>
      <c r="L66" s="63">
        <f t="shared" si="24"/>
        <v>2012</v>
      </c>
      <c r="M66" s="63">
        <f t="shared" si="24"/>
        <v>2013</v>
      </c>
      <c r="N66" s="63">
        <f t="shared" si="24"/>
        <v>2014</v>
      </c>
      <c r="O66" s="63">
        <f t="shared" si="24"/>
        <v>2015</v>
      </c>
      <c r="P66" s="63">
        <f t="shared" si="24"/>
        <v>2016</v>
      </c>
      <c r="Q66" s="63">
        <f t="shared" si="24"/>
        <v>2017</v>
      </c>
      <c r="R66" s="63">
        <f t="shared" si="24"/>
        <v>2018</v>
      </c>
      <c r="S66" s="63">
        <f t="shared" si="24"/>
        <v>2019</v>
      </c>
      <c r="T66" s="63">
        <f t="shared" si="24"/>
        <v>2020</v>
      </c>
      <c r="U66" s="63">
        <f t="shared" si="24"/>
        <v>2021</v>
      </c>
      <c r="V66" s="63">
        <f t="shared" si="24"/>
        <v>2022</v>
      </c>
      <c r="W66" s="63"/>
    </row>
    <row r="67" spans="1:23" s="29" customFormat="1" ht="30" x14ac:dyDescent="0.25">
      <c r="C67" s="37" t="s">
        <v>38</v>
      </c>
      <c r="D67" s="14" t="s">
        <v>63</v>
      </c>
      <c r="E67" s="63" t="str">
        <f>C68&amp;" "&amp;D68</f>
        <v>EV-U Peak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6">
        <f t="shared" ref="M67:Q69" si="25">M8+M11+M20</f>
        <v>0</v>
      </c>
      <c r="N67" s="56">
        <f t="shared" si="25"/>
        <v>0</v>
      </c>
      <c r="O67" s="56">
        <f t="shared" si="25"/>
        <v>90.7</v>
      </c>
      <c r="P67" s="56">
        <f t="shared" si="25"/>
        <v>12721</v>
      </c>
      <c r="Q67" s="56">
        <f t="shared" si="25"/>
        <v>62716</v>
      </c>
      <c r="R67" s="56">
        <f t="shared" ref="R67:T69" si="26">R8+R11+R17+R20</f>
        <v>65850</v>
      </c>
      <c r="S67" s="56">
        <f t="shared" si="26"/>
        <v>87900</v>
      </c>
      <c r="T67" s="56">
        <f t="shared" si="26"/>
        <v>96047</v>
      </c>
      <c r="U67" s="56">
        <f t="shared" ref="U67:V67" si="27">U8+U11+U17+U20</f>
        <v>197262</v>
      </c>
      <c r="V67" s="56">
        <f t="shared" si="27"/>
        <v>184249.69999999998</v>
      </c>
    </row>
    <row r="68" spans="1:23" ht="15.75" x14ac:dyDescent="0.25">
      <c r="C68" s="134" t="s">
        <v>46</v>
      </c>
      <c r="D68" s="29" t="s">
        <v>7</v>
      </c>
      <c r="E68" s="63" t="str">
        <f t="shared" ref="E68:E69" si="28">C69&amp;" "&amp;D69</f>
        <v xml:space="preserve"> Off peak 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6">
        <f t="shared" si="25"/>
        <v>0</v>
      </c>
      <c r="N68" s="56">
        <f t="shared" si="25"/>
        <v>0</v>
      </c>
      <c r="O68" s="56">
        <f t="shared" si="25"/>
        <v>27.8</v>
      </c>
      <c r="P68" s="56">
        <f t="shared" si="25"/>
        <v>14586</v>
      </c>
      <c r="Q68" s="56">
        <f t="shared" si="25"/>
        <v>55825</v>
      </c>
      <c r="R68" s="56">
        <f t="shared" si="26"/>
        <v>51146</v>
      </c>
      <c r="S68" s="56">
        <f t="shared" si="26"/>
        <v>69032</v>
      </c>
      <c r="T68" s="56">
        <f t="shared" si="26"/>
        <v>76132</v>
      </c>
      <c r="U68" s="56">
        <f t="shared" ref="U68:V68" si="29">U9+U12+U18+U21</f>
        <v>161592</v>
      </c>
      <c r="V68" s="56">
        <f t="shared" si="29"/>
        <v>148910.13</v>
      </c>
      <c r="W68" s="29"/>
    </row>
    <row r="69" spans="1:23" ht="15.75" x14ac:dyDescent="0.25">
      <c r="C69" s="134"/>
      <c r="D69" s="29" t="s">
        <v>8</v>
      </c>
      <c r="E69" s="63" t="str">
        <f t="shared" si="28"/>
        <v xml:space="preserve"> Daytime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  <c r="L69" s="55">
        <v>0</v>
      </c>
      <c r="M69" s="56">
        <f t="shared" si="25"/>
        <v>0</v>
      </c>
      <c r="N69" s="56">
        <f t="shared" si="25"/>
        <v>2</v>
      </c>
      <c r="O69" s="56">
        <f t="shared" si="25"/>
        <v>1576.8</v>
      </c>
      <c r="P69" s="56">
        <f t="shared" si="25"/>
        <v>42292</v>
      </c>
      <c r="Q69" s="56">
        <f t="shared" si="25"/>
        <v>108077</v>
      </c>
      <c r="R69" s="56">
        <f t="shared" si="26"/>
        <v>141741</v>
      </c>
      <c r="S69" s="56">
        <f t="shared" si="26"/>
        <v>194520</v>
      </c>
      <c r="T69" s="56">
        <f t="shared" si="26"/>
        <v>239837</v>
      </c>
      <c r="U69" s="56">
        <f t="shared" ref="U69:V69" si="30">U10+U13+U19+U22</f>
        <v>426349</v>
      </c>
      <c r="V69" s="56">
        <f t="shared" si="30"/>
        <v>399475.62000000005</v>
      </c>
      <c r="W69" s="29"/>
    </row>
    <row r="70" spans="1:23" x14ac:dyDescent="0.25">
      <c r="C70" s="134"/>
      <c r="D70" s="29" t="s">
        <v>47</v>
      </c>
      <c r="U70" s="29"/>
      <c r="V70" s="29"/>
      <c r="W70" s="29"/>
    </row>
    <row r="71" spans="1:23" x14ac:dyDescent="0.25">
      <c r="C71" s="134"/>
      <c r="D71" s="29" t="s">
        <v>48</v>
      </c>
      <c r="U71" s="29"/>
      <c r="V71" s="29"/>
      <c r="W71" s="29"/>
    </row>
    <row r="72" spans="1:23" ht="30" x14ac:dyDescent="0.25">
      <c r="C72" s="134"/>
      <c r="D72" s="14" t="s">
        <v>45</v>
      </c>
      <c r="T72" s="29"/>
      <c r="U72" s="29"/>
      <c r="V72" s="29"/>
      <c r="W72" s="29"/>
    </row>
    <row r="73" spans="1:23" s="68" customFormat="1" ht="31.5" x14ac:dyDescent="0.25">
      <c r="A73" s="35"/>
      <c r="B73" s="129" t="s">
        <v>58</v>
      </c>
      <c r="C73" s="130"/>
      <c r="D73" s="133"/>
      <c r="E73" s="80" t="s">
        <v>66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66"/>
    </row>
    <row r="74" spans="1:23" s="67" customFormat="1" ht="15.75" x14ac:dyDescent="0.25">
      <c r="A74" s="29"/>
      <c r="B74" s="29"/>
      <c r="C74" s="37" t="s">
        <v>37</v>
      </c>
      <c r="D74" s="29" t="s">
        <v>59</v>
      </c>
      <c r="E74" s="63"/>
      <c r="F74" s="63">
        <f t="shared" ref="F74:V74" si="31">F$58</f>
        <v>2006</v>
      </c>
      <c r="G74" s="63">
        <f t="shared" si="31"/>
        <v>2007</v>
      </c>
      <c r="H74" s="63">
        <f t="shared" si="31"/>
        <v>2008</v>
      </c>
      <c r="I74" s="63">
        <f t="shared" si="31"/>
        <v>2009</v>
      </c>
      <c r="J74" s="63">
        <f t="shared" si="31"/>
        <v>2010</v>
      </c>
      <c r="K74" s="63">
        <f t="shared" si="31"/>
        <v>2011</v>
      </c>
      <c r="L74" s="63">
        <f t="shared" si="31"/>
        <v>2012</v>
      </c>
      <c r="M74" s="63">
        <f t="shared" si="31"/>
        <v>2013</v>
      </c>
      <c r="N74" s="63">
        <f t="shared" si="31"/>
        <v>2014</v>
      </c>
      <c r="O74" s="63">
        <f t="shared" si="31"/>
        <v>2015</v>
      </c>
      <c r="P74" s="63">
        <f t="shared" si="31"/>
        <v>2016</v>
      </c>
      <c r="Q74" s="63">
        <f t="shared" si="31"/>
        <v>2017</v>
      </c>
      <c r="R74" s="63">
        <f t="shared" si="31"/>
        <v>2018</v>
      </c>
      <c r="S74" s="63">
        <f t="shared" si="31"/>
        <v>2019</v>
      </c>
      <c r="T74" s="63">
        <f t="shared" si="31"/>
        <v>2020</v>
      </c>
      <c r="U74" s="63">
        <f t="shared" si="31"/>
        <v>2021</v>
      </c>
      <c r="V74" s="63">
        <f t="shared" si="31"/>
        <v>2022</v>
      </c>
      <c r="W74" s="63"/>
    </row>
    <row r="75" spans="1:23" s="29" customFormat="1" ht="30" x14ac:dyDescent="0.25">
      <c r="C75" s="37" t="s">
        <v>38</v>
      </c>
      <c r="D75" s="14" t="s">
        <v>63</v>
      </c>
      <c r="E75" s="63" t="str">
        <f>C76&amp;" "&amp;D76</f>
        <v>EV-F Peak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6">
        <f t="shared" ref="M75:P77" si="32">M23+M35+M26</f>
        <v>2336</v>
      </c>
      <c r="N75" s="56">
        <f t="shared" si="32"/>
        <v>25527</v>
      </c>
      <c r="O75" s="56">
        <f t="shared" si="32"/>
        <v>20993</v>
      </c>
      <c r="P75" s="56">
        <f t="shared" si="32"/>
        <v>31688</v>
      </c>
      <c r="Q75" s="56">
        <f t="shared" ref="Q75:T77" si="33">Q35+Q26</f>
        <v>43530</v>
      </c>
      <c r="R75" s="56">
        <f t="shared" si="33"/>
        <v>42444</v>
      </c>
      <c r="S75" s="56">
        <f t="shared" si="33"/>
        <v>29914</v>
      </c>
      <c r="T75" s="56">
        <f t="shared" si="33"/>
        <v>18875</v>
      </c>
      <c r="U75" s="56">
        <f t="shared" ref="U75:V75" si="34">U35+U26</f>
        <v>17093</v>
      </c>
      <c r="V75" s="56">
        <f t="shared" si="34"/>
        <v>20900</v>
      </c>
    </row>
    <row r="76" spans="1:23" ht="15.75" x14ac:dyDescent="0.25">
      <c r="C76" s="134" t="s">
        <v>9</v>
      </c>
      <c r="D76" s="29" t="s">
        <v>7</v>
      </c>
      <c r="E76" s="63" t="str">
        <f t="shared" ref="E76:E77" si="35">C77&amp;" "&amp;D77</f>
        <v xml:space="preserve"> Off peak 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6">
        <f t="shared" si="32"/>
        <v>1844</v>
      </c>
      <c r="N76" s="56">
        <f t="shared" si="32"/>
        <v>19900</v>
      </c>
      <c r="O76" s="56">
        <f t="shared" si="32"/>
        <v>17957</v>
      </c>
      <c r="P76" s="56">
        <f t="shared" si="32"/>
        <v>24586</v>
      </c>
      <c r="Q76" s="56">
        <f t="shared" si="33"/>
        <v>39698</v>
      </c>
      <c r="R76" s="56">
        <f t="shared" si="33"/>
        <v>41967</v>
      </c>
      <c r="S76" s="56">
        <f t="shared" si="33"/>
        <v>30297</v>
      </c>
      <c r="T76" s="56">
        <f t="shared" si="33"/>
        <v>25088</v>
      </c>
      <c r="U76" s="56">
        <f t="shared" ref="U76:V76" si="36">U36+U27</f>
        <v>16756</v>
      </c>
      <c r="V76" s="56">
        <f t="shared" si="36"/>
        <v>18896</v>
      </c>
      <c r="W76" s="29"/>
    </row>
    <row r="77" spans="1:23" ht="15.75" x14ac:dyDescent="0.25">
      <c r="C77" s="134"/>
      <c r="D77" s="29" t="s">
        <v>8</v>
      </c>
      <c r="E77" s="63" t="str">
        <f t="shared" si="35"/>
        <v xml:space="preserve"> Daytime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  <c r="L77" s="55">
        <v>0</v>
      </c>
      <c r="M77" s="56">
        <f t="shared" si="32"/>
        <v>7143</v>
      </c>
      <c r="N77" s="56">
        <f t="shared" si="32"/>
        <v>92553</v>
      </c>
      <c r="O77" s="56">
        <f t="shared" si="32"/>
        <v>83441</v>
      </c>
      <c r="P77" s="56">
        <f t="shared" si="32"/>
        <v>123882</v>
      </c>
      <c r="Q77" s="56">
        <f t="shared" si="33"/>
        <v>167881</v>
      </c>
      <c r="R77" s="56">
        <f t="shared" si="33"/>
        <v>160438</v>
      </c>
      <c r="S77" s="56">
        <f t="shared" si="33"/>
        <v>120464</v>
      </c>
      <c r="T77" s="56">
        <f t="shared" si="33"/>
        <v>54362</v>
      </c>
      <c r="U77" s="56">
        <f t="shared" ref="U77:V77" si="37">U37+U28</f>
        <v>29625</v>
      </c>
      <c r="V77" s="56">
        <f t="shared" si="37"/>
        <v>38707</v>
      </c>
      <c r="W77" s="29"/>
    </row>
    <row r="78" spans="1:23" x14ac:dyDescent="0.25">
      <c r="C78" s="134"/>
      <c r="D78" s="29" t="s">
        <v>47</v>
      </c>
      <c r="U78" s="29"/>
      <c r="V78" s="29"/>
      <c r="W78" s="29"/>
    </row>
    <row r="79" spans="1:23" x14ac:dyDescent="0.25">
      <c r="C79" s="134"/>
      <c r="D79" s="29" t="s">
        <v>48</v>
      </c>
      <c r="T79" s="29"/>
      <c r="U79" s="29"/>
      <c r="V79" s="29"/>
      <c r="W79" s="29"/>
    </row>
    <row r="80" spans="1:23" x14ac:dyDescent="0.25">
      <c r="C80" s="134"/>
      <c r="D80" s="14"/>
      <c r="T80" s="29"/>
      <c r="U80" s="29"/>
      <c r="V80" s="29"/>
      <c r="W80" s="29"/>
    </row>
    <row r="81" spans="1:23" s="68" customFormat="1" ht="31.5" x14ac:dyDescent="0.25">
      <c r="A81" s="35"/>
      <c r="B81" s="129" t="s">
        <v>58</v>
      </c>
      <c r="C81" s="130"/>
      <c r="D81" s="133"/>
      <c r="E81" s="80" t="s">
        <v>67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66"/>
    </row>
    <row r="82" spans="1:23" s="67" customFormat="1" ht="15.75" x14ac:dyDescent="0.25">
      <c r="A82" s="29"/>
      <c r="B82" s="29"/>
      <c r="C82" s="37" t="s">
        <v>37</v>
      </c>
      <c r="D82" s="29" t="s">
        <v>59</v>
      </c>
      <c r="E82" s="63"/>
      <c r="F82" s="63">
        <f t="shared" ref="F82:V82" si="38">F$58</f>
        <v>2006</v>
      </c>
      <c r="G82" s="63">
        <f t="shared" si="38"/>
        <v>2007</v>
      </c>
      <c r="H82" s="63">
        <f t="shared" si="38"/>
        <v>2008</v>
      </c>
      <c r="I82" s="63">
        <f t="shared" si="38"/>
        <v>2009</v>
      </c>
      <c r="J82" s="63">
        <f t="shared" si="38"/>
        <v>2010</v>
      </c>
      <c r="K82" s="63">
        <f t="shared" si="38"/>
        <v>2011</v>
      </c>
      <c r="L82" s="63">
        <f t="shared" si="38"/>
        <v>2012</v>
      </c>
      <c r="M82" s="63">
        <f t="shared" si="38"/>
        <v>2013</v>
      </c>
      <c r="N82" s="63">
        <f t="shared" si="38"/>
        <v>2014</v>
      </c>
      <c r="O82" s="63">
        <f t="shared" si="38"/>
        <v>2015</v>
      </c>
      <c r="P82" s="63">
        <f t="shared" si="38"/>
        <v>2016</v>
      </c>
      <c r="Q82" s="63">
        <f t="shared" si="38"/>
        <v>2017</v>
      </c>
      <c r="R82" s="63">
        <f t="shared" si="38"/>
        <v>2018</v>
      </c>
      <c r="S82" s="63">
        <f t="shared" si="38"/>
        <v>2019</v>
      </c>
      <c r="T82" s="63">
        <f t="shared" si="38"/>
        <v>2020</v>
      </c>
      <c r="U82" s="63">
        <f t="shared" si="38"/>
        <v>2021</v>
      </c>
      <c r="V82" s="63">
        <f t="shared" si="38"/>
        <v>2022</v>
      </c>
      <c r="W82" s="63"/>
    </row>
    <row r="83" spans="1:23" s="29" customFormat="1" ht="15.75" x14ac:dyDescent="0.25">
      <c r="C83" s="37" t="s">
        <v>38</v>
      </c>
      <c r="D83" s="29" t="s">
        <v>63</v>
      </c>
      <c r="E83" s="63" t="str">
        <f>C84&amp;" "&amp;D84</f>
        <v>EV-MAUI Peak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55">
        <v>0</v>
      </c>
      <c r="S83" s="55">
        <v>0</v>
      </c>
      <c r="T83" s="56">
        <f t="shared" ref="T83:U85" si="39">T38</f>
        <v>1027</v>
      </c>
      <c r="U83" s="56">
        <f t="shared" si="39"/>
        <v>30769</v>
      </c>
      <c r="V83" s="56">
        <f t="shared" ref="V83" si="40">V38</f>
        <v>41211.19</v>
      </c>
    </row>
    <row r="84" spans="1:23" ht="15.75" x14ac:dyDescent="0.25">
      <c r="C84" s="134" t="s">
        <v>10</v>
      </c>
      <c r="D84" s="29" t="s">
        <v>7</v>
      </c>
      <c r="E84" s="63" t="str">
        <f t="shared" ref="E84:E85" si="41">C85&amp;" "&amp;D85</f>
        <v xml:space="preserve"> Off peak 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</v>
      </c>
      <c r="T84" s="56">
        <f t="shared" si="39"/>
        <v>3234</v>
      </c>
      <c r="U84" s="56">
        <f t="shared" si="39"/>
        <v>26273</v>
      </c>
      <c r="V84" s="56">
        <f t="shared" ref="V84" si="42">V39</f>
        <v>34557.56</v>
      </c>
      <c r="W84" s="29"/>
    </row>
    <row r="85" spans="1:23" ht="15.75" x14ac:dyDescent="0.25">
      <c r="C85" s="134"/>
      <c r="D85" s="29" t="s">
        <v>8</v>
      </c>
      <c r="E85" s="63" t="str">
        <f t="shared" si="41"/>
        <v xml:space="preserve"> Daytime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55">
        <v>0</v>
      </c>
      <c r="S85" s="55">
        <v>0</v>
      </c>
      <c r="T85" s="56">
        <f t="shared" si="39"/>
        <v>8872</v>
      </c>
      <c r="U85" s="56">
        <f t="shared" si="39"/>
        <v>104267</v>
      </c>
      <c r="V85" s="56">
        <f t="shared" ref="V85" si="43">V40</f>
        <v>120782.56</v>
      </c>
      <c r="W85" s="29"/>
    </row>
    <row r="86" spans="1:23" x14ac:dyDescent="0.25">
      <c r="C86" s="134"/>
      <c r="D86" s="29" t="s">
        <v>47</v>
      </c>
      <c r="U86" s="41"/>
      <c r="V86" s="29"/>
      <c r="W86" s="29"/>
    </row>
    <row r="87" spans="1:23" x14ac:dyDescent="0.25">
      <c r="C87" s="134"/>
      <c r="D87" s="29" t="s">
        <v>48</v>
      </c>
      <c r="T87" s="29"/>
      <c r="U87" s="41"/>
      <c r="V87" s="29"/>
      <c r="W87" s="29"/>
    </row>
    <row r="88" spans="1:23" x14ac:dyDescent="0.25">
      <c r="C88" s="134"/>
      <c r="D88" s="14"/>
      <c r="E88" s="70"/>
      <c r="T88" s="29"/>
      <c r="U88" s="41"/>
      <c r="V88" s="29"/>
      <c r="W88" s="29"/>
    </row>
    <row r="89" spans="1:23" s="68" customFormat="1" ht="31.5" x14ac:dyDescent="0.25">
      <c r="A89" s="35"/>
      <c r="B89" s="129" t="s">
        <v>58</v>
      </c>
      <c r="C89" s="130"/>
      <c r="D89" s="133"/>
      <c r="E89" s="80" t="s">
        <v>68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66"/>
    </row>
    <row r="90" spans="1:23" s="67" customFormat="1" ht="15.75" x14ac:dyDescent="0.25">
      <c r="A90" s="29"/>
      <c r="B90" s="29"/>
      <c r="C90" s="37" t="s">
        <v>37</v>
      </c>
      <c r="D90" s="29" t="s">
        <v>59</v>
      </c>
      <c r="E90" s="63"/>
      <c r="F90" s="63">
        <f t="shared" ref="F90:V90" si="44">F$58</f>
        <v>2006</v>
      </c>
      <c r="G90" s="63">
        <f t="shared" si="44"/>
        <v>2007</v>
      </c>
      <c r="H90" s="63">
        <f t="shared" si="44"/>
        <v>2008</v>
      </c>
      <c r="I90" s="63">
        <f t="shared" si="44"/>
        <v>2009</v>
      </c>
      <c r="J90" s="63">
        <f t="shared" si="44"/>
        <v>2010</v>
      </c>
      <c r="K90" s="63">
        <f t="shared" si="44"/>
        <v>2011</v>
      </c>
      <c r="L90" s="63">
        <f t="shared" si="44"/>
        <v>2012</v>
      </c>
      <c r="M90" s="63">
        <f t="shared" si="44"/>
        <v>2013</v>
      </c>
      <c r="N90" s="63">
        <f t="shared" si="44"/>
        <v>2014</v>
      </c>
      <c r="O90" s="63">
        <f t="shared" si="44"/>
        <v>2015</v>
      </c>
      <c r="P90" s="63">
        <f t="shared" si="44"/>
        <v>2016</v>
      </c>
      <c r="Q90" s="63">
        <f t="shared" si="44"/>
        <v>2017</v>
      </c>
      <c r="R90" s="63">
        <f t="shared" si="44"/>
        <v>2018</v>
      </c>
      <c r="S90" s="63">
        <f t="shared" si="44"/>
        <v>2019</v>
      </c>
      <c r="T90" s="63">
        <f t="shared" si="44"/>
        <v>2020</v>
      </c>
      <c r="U90" s="63">
        <f t="shared" si="44"/>
        <v>2021</v>
      </c>
      <c r="V90" s="63">
        <f t="shared" si="44"/>
        <v>2022</v>
      </c>
      <c r="W90" s="63"/>
    </row>
    <row r="91" spans="1:23" s="29" customFormat="1" ht="30" x14ac:dyDescent="0.25">
      <c r="C91" s="37" t="s">
        <v>38</v>
      </c>
      <c r="D91" s="14" t="s">
        <v>63</v>
      </c>
      <c r="E91" s="63" t="str">
        <f>C92&amp;" "&amp;D92</f>
        <v>eBus Peak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0</v>
      </c>
      <c r="Q91" s="55">
        <v>0</v>
      </c>
      <c r="R91" s="55">
        <v>0</v>
      </c>
      <c r="S91" s="56">
        <f t="shared" ref="S91:T93" si="45">S41</f>
        <v>6250</v>
      </c>
      <c r="T91" s="56">
        <f t="shared" si="45"/>
        <v>14400</v>
      </c>
      <c r="U91" s="56">
        <f t="shared" ref="U91:V91" si="46">U41</f>
        <v>11317</v>
      </c>
      <c r="V91" s="56">
        <f t="shared" si="46"/>
        <v>22983</v>
      </c>
    </row>
    <row r="92" spans="1:23" ht="15.75" x14ac:dyDescent="0.25">
      <c r="C92" s="134" t="s">
        <v>13</v>
      </c>
      <c r="D92" s="29" t="s">
        <v>7</v>
      </c>
      <c r="E92" s="63" t="str">
        <f t="shared" ref="E92:E93" si="47">C93&amp;" "&amp;D93</f>
        <v xml:space="preserve"> Off peak </v>
      </c>
      <c r="F92" s="55">
        <v>0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0</v>
      </c>
      <c r="N92" s="55">
        <v>0</v>
      </c>
      <c r="O92" s="55">
        <v>0</v>
      </c>
      <c r="P92" s="55">
        <v>0</v>
      </c>
      <c r="Q92" s="55">
        <v>0</v>
      </c>
      <c r="R92" s="55">
        <v>0</v>
      </c>
      <c r="S92" s="56">
        <f t="shared" si="45"/>
        <v>62200</v>
      </c>
      <c r="T92" s="56">
        <f t="shared" si="45"/>
        <v>13350</v>
      </c>
      <c r="U92" s="56">
        <f t="shared" ref="U92:V92" si="48">U42</f>
        <v>26110</v>
      </c>
      <c r="V92" s="56">
        <f t="shared" si="48"/>
        <v>681231</v>
      </c>
      <c r="W92" s="29"/>
    </row>
    <row r="93" spans="1:23" ht="15.75" x14ac:dyDescent="0.25">
      <c r="C93" s="134"/>
      <c r="D93" s="29" t="s">
        <v>8</v>
      </c>
      <c r="E93" s="63" t="str">
        <f t="shared" si="47"/>
        <v xml:space="preserve"> Daytime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6">
        <f t="shared" si="45"/>
        <v>5850</v>
      </c>
      <c r="T93" s="56">
        <f t="shared" si="45"/>
        <v>1800</v>
      </c>
      <c r="U93" s="56">
        <f t="shared" ref="U93:V93" si="49">U43</f>
        <v>9175</v>
      </c>
      <c r="V93" s="56">
        <f t="shared" si="49"/>
        <v>192064</v>
      </c>
      <c r="W93" s="29"/>
    </row>
    <row r="94" spans="1:23" x14ac:dyDescent="0.25">
      <c r="C94" s="134"/>
      <c r="D94" s="29" t="s">
        <v>47</v>
      </c>
      <c r="U94" s="29"/>
      <c r="V94" s="29"/>
      <c r="W94" s="29"/>
    </row>
    <row r="95" spans="1:23" x14ac:dyDescent="0.25">
      <c r="C95" s="134"/>
      <c r="D95" s="29" t="s">
        <v>48</v>
      </c>
      <c r="T95" s="29"/>
      <c r="U95" s="29"/>
      <c r="V95" s="29"/>
      <c r="W95" s="29"/>
    </row>
    <row r="96" spans="1:23" x14ac:dyDescent="0.25">
      <c r="C96" s="134"/>
      <c r="D96" s="14"/>
      <c r="T96" s="29"/>
      <c r="U96" s="29"/>
      <c r="V96" s="29"/>
      <c r="W96" s="29"/>
    </row>
    <row r="97" spans="1:41" s="68" customFormat="1" ht="47.25" x14ac:dyDescent="0.25">
      <c r="A97" s="35"/>
      <c r="B97" s="129" t="s">
        <v>58</v>
      </c>
      <c r="C97" s="130"/>
      <c r="D97" s="133"/>
      <c r="E97" s="80" t="s">
        <v>70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66"/>
    </row>
    <row r="98" spans="1:41" s="67" customFormat="1" ht="15.75" x14ac:dyDescent="0.25">
      <c r="A98" s="29"/>
      <c r="B98" s="29"/>
      <c r="C98" s="37" t="s">
        <v>37</v>
      </c>
      <c r="D98" s="29" t="s">
        <v>59</v>
      </c>
      <c r="E98" s="63"/>
      <c r="F98" s="63">
        <f t="shared" ref="F98:V98" si="50">F$58</f>
        <v>2006</v>
      </c>
      <c r="G98" s="63">
        <f t="shared" si="50"/>
        <v>2007</v>
      </c>
      <c r="H98" s="63">
        <f t="shared" si="50"/>
        <v>2008</v>
      </c>
      <c r="I98" s="63">
        <f t="shared" si="50"/>
        <v>2009</v>
      </c>
      <c r="J98" s="63">
        <f t="shared" si="50"/>
        <v>2010</v>
      </c>
      <c r="K98" s="63">
        <f t="shared" si="50"/>
        <v>2011</v>
      </c>
      <c r="L98" s="63">
        <f t="shared" si="50"/>
        <v>2012</v>
      </c>
      <c r="M98" s="63">
        <f t="shared" si="50"/>
        <v>2013</v>
      </c>
      <c r="N98" s="63">
        <f t="shared" si="50"/>
        <v>2014</v>
      </c>
      <c r="O98" s="63">
        <f t="shared" si="50"/>
        <v>2015</v>
      </c>
      <c r="P98" s="63">
        <f t="shared" si="50"/>
        <v>2016</v>
      </c>
      <c r="Q98" s="63">
        <f t="shared" si="50"/>
        <v>2017</v>
      </c>
      <c r="R98" s="63">
        <f t="shared" si="50"/>
        <v>2018</v>
      </c>
      <c r="S98" s="63">
        <f t="shared" si="50"/>
        <v>2019</v>
      </c>
      <c r="T98" s="63">
        <f t="shared" si="50"/>
        <v>2020</v>
      </c>
      <c r="U98" s="63">
        <f t="shared" si="50"/>
        <v>2021</v>
      </c>
      <c r="V98" s="63">
        <f t="shared" si="50"/>
        <v>2022</v>
      </c>
      <c r="W98" s="63"/>
    </row>
    <row r="99" spans="1:41" ht="15.75" x14ac:dyDescent="0.25">
      <c r="B99" s="29"/>
      <c r="C99" s="37"/>
      <c r="D99" s="29"/>
      <c r="E99" s="63" t="s">
        <v>71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f>SUM(M100:M103)</f>
        <v>11323</v>
      </c>
      <c r="N99" s="55">
        <f t="shared" ref="N99:P99" si="51">SUM(N100:N103)</f>
        <v>126659</v>
      </c>
      <c r="O99" s="55">
        <f t="shared" si="51"/>
        <v>-13895.7</v>
      </c>
      <c r="P99" s="55">
        <f t="shared" si="51"/>
        <v>125668.7</v>
      </c>
      <c r="Q99" s="55">
        <f t="shared" ref="Q99" si="52">SUM(Q100:Q103)</f>
        <v>227972</v>
      </c>
      <c r="R99" s="55">
        <f t="shared" ref="R99" si="53">SUM(R100:R103)</f>
        <v>25859</v>
      </c>
      <c r="S99" s="55">
        <f t="shared" ref="S99" si="54">SUM(S100:S103)</f>
        <v>102841</v>
      </c>
      <c r="T99" s="55">
        <f t="shared" ref="T99:U99" si="55">SUM(T100:T103)</f>
        <v>-53403</v>
      </c>
      <c r="U99" s="55">
        <f t="shared" si="55"/>
        <v>503564</v>
      </c>
      <c r="V99" s="55">
        <f t="shared" ref="V99" si="56">SUM(V100:V103)</f>
        <v>847379.76</v>
      </c>
    </row>
    <row r="100" spans="1:41" ht="15.75" x14ac:dyDescent="0.25">
      <c r="B100" s="29"/>
      <c r="C100" s="60"/>
      <c r="D100" s="29"/>
      <c r="E100" s="63" t="s">
        <v>72</v>
      </c>
      <c r="F100" s="54"/>
      <c r="G100" s="54"/>
      <c r="H100" s="54"/>
      <c r="I100" s="54"/>
      <c r="J100" s="54"/>
      <c r="K100" s="54"/>
      <c r="L100" s="54"/>
      <c r="M100" s="56">
        <f>SUM(M75:M77)</f>
        <v>11323</v>
      </c>
      <c r="N100" s="56">
        <f t="shared" ref="N100:V100" si="57">SUM(N75:N77)-SUM(M75:M77)</f>
        <v>126657</v>
      </c>
      <c r="O100" s="56">
        <f t="shared" si="57"/>
        <v>-15589</v>
      </c>
      <c r="P100" s="56">
        <f t="shared" si="57"/>
        <v>57765</v>
      </c>
      <c r="Q100" s="56">
        <f t="shared" si="57"/>
        <v>70953</v>
      </c>
      <c r="R100" s="56">
        <f t="shared" si="57"/>
        <v>-6260</v>
      </c>
      <c r="S100" s="56">
        <f t="shared" si="57"/>
        <v>-64174</v>
      </c>
      <c r="T100" s="56">
        <f t="shared" si="57"/>
        <v>-82350</v>
      </c>
      <c r="U100" s="56">
        <f t="shared" si="57"/>
        <v>-34851</v>
      </c>
      <c r="V100" s="56">
        <f t="shared" si="57"/>
        <v>15029</v>
      </c>
    </row>
    <row r="101" spans="1:41" ht="15.75" x14ac:dyDescent="0.25">
      <c r="B101" s="29"/>
      <c r="C101" s="60"/>
      <c r="D101" s="29"/>
      <c r="E101" s="63" t="s">
        <v>73</v>
      </c>
      <c r="F101" s="55"/>
      <c r="G101" s="55"/>
      <c r="H101" s="55"/>
      <c r="I101" s="55"/>
      <c r="J101" s="55"/>
      <c r="K101" s="55"/>
      <c r="L101" s="55"/>
      <c r="M101" s="55">
        <f>SUM(M67:M69)</f>
        <v>0</v>
      </c>
      <c r="N101" s="55">
        <f t="shared" ref="N101:V101" si="58">SUM(N67:N69)-SUM(M67:M69)</f>
        <v>2</v>
      </c>
      <c r="O101" s="55">
        <f t="shared" si="58"/>
        <v>1693.3</v>
      </c>
      <c r="P101" s="55">
        <f t="shared" si="58"/>
        <v>67903.7</v>
      </c>
      <c r="Q101" s="55">
        <f t="shared" si="58"/>
        <v>157019</v>
      </c>
      <c r="R101" s="55">
        <f t="shared" si="58"/>
        <v>32119</v>
      </c>
      <c r="S101" s="55">
        <f t="shared" si="58"/>
        <v>92715</v>
      </c>
      <c r="T101" s="55">
        <f t="shared" si="58"/>
        <v>60564</v>
      </c>
      <c r="U101" s="55">
        <f t="shared" si="58"/>
        <v>373187</v>
      </c>
      <c r="V101" s="55">
        <f t="shared" si="58"/>
        <v>-52567.550000000047</v>
      </c>
    </row>
    <row r="102" spans="1:41" ht="15.75" x14ac:dyDescent="0.25">
      <c r="B102" s="29"/>
      <c r="C102" s="60"/>
      <c r="D102" s="29"/>
      <c r="E102" s="63" t="s">
        <v>74</v>
      </c>
      <c r="F102" s="55"/>
      <c r="G102" s="55"/>
      <c r="H102" s="55"/>
      <c r="I102" s="55"/>
      <c r="J102" s="55"/>
      <c r="K102" s="55"/>
      <c r="L102" s="55"/>
      <c r="M102" s="55">
        <f>SUM(M91:M93)</f>
        <v>0</v>
      </c>
      <c r="N102" s="55">
        <f t="shared" ref="N102:V102" si="59">SUM(N91:N93)-SUM(M91:M93)</f>
        <v>0</v>
      </c>
      <c r="O102" s="55">
        <f t="shared" si="59"/>
        <v>0</v>
      </c>
      <c r="P102" s="55">
        <f t="shared" si="59"/>
        <v>0</v>
      </c>
      <c r="Q102" s="55">
        <f t="shared" si="59"/>
        <v>0</v>
      </c>
      <c r="R102" s="55">
        <f t="shared" si="59"/>
        <v>0</v>
      </c>
      <c r="S102" s="55">
        <f t="shared" si="59"/>
        <v>74300</v>
      </c>
      <c r="T102" s="55">
        <f t="shared" si="59"/>
        <v>-44750</v>
      </c>
      <c r="U102" s="55">
        <f t="shared" si="59"/>
        <v>17052</v>
      </c>
      <c r="V102" s="55">
        <f t="shared" si="59"/>
        <v>849676</v>
      </c>
    </row>
    <row r="103" spans="1:41" ht="15.75" x14ac:dyDescent="0.25">
      <c r="B103" s="29"/>
      <c r="C103" s="60"/>
      <c r="D103" s="29"/>
      <c r="E103" s="63" t="s">
        <v>75</v>
      </c>
      <c r="F103" s="55"/>
      <c r="G103" s="55"/>
      <c r="H103" s="55"/>
      <c r="I103" s="55"/>
      <c r="J103" s="55"/>
      <c r="K103" s="55"/>
      <c r="L103" s="55"/>
      <c r="M103" s="55">
        <f>SUM(M83:M85)</f>
        <v>0</v>
      </c>
      <c r="N103" s="55">
        <f t="shared" ref="N103:V103" si="60">SUM(N83:N85)-SUM(M83:M85)</f>
        <v>0</v>
      </c>
      <c r="O103" s="55">
        <f t="shared" si="60"/>
        <v>0</v>
      </c>
      <c r="P103" s="55">
        <f t="shared" si="60"/>
        <v>0</v>
      </c>
      <c r="Q103" s="55">
        <f t="shared" si="60"/>
        <v>0</v>
      </c>
      <c r="R103" s="55">
        <f t="shared" si="60"/>
        <v>0</v>
      </c>
      <c r="S103" s="55">
        <f t="shared" si="60"/>
        <v>0</v>
      </c>
      <c r="T103" s="55">
        <f t="shared" si="60"/>
        <v>13133</v>
      </c>
      <c r="U103" s="55">
        <f t="shared" si="60"/>
        <v>148176</v>
      </c>
      <c r="V103" s="55">
        <f t="shared" si="60"/>
        <v>35242.31</v>
      </c>
    </row>
    <row r="104" spans="1:41" s="75" customFormat="1" ht="15.75" x14ac:dyDescent="0.25">
      <c r="C104" s="60"/>
      <c r="E104" s="81" t="s">
        <v>82</v>
      </c>
      <c r="F104" s="55">
        <f t="shared" ref="F104:U104" si="61">SUM(ABS(F100),ABS(F101),ABS(F102),ABS(F103))</f>
        <v>0</v>
      </c>
      <c r="G104" s="55">
        <f t="shared" si="61"/>
        <v>0</v>
      </c>
      <c r="H104" s="55">
        <f t="shared" si="61"/>
        <v>0</v>
      </c>
      <c r="I104" s="55">
        <f t="shared" si="61"/>
        <v>0</v>
      </c>
      <c r="J104" s="55">
        <f t="shared" si="61"/>
        <v>0</v>
      </c>
      <c r="K104" s="55">
        <f t="shared" si="61"/>
        <v>0</v>
      </c>
      <c r="L104" s="55">
        <f t="shared" si="61"/>
        <v>0</v>
      </c>
      <c r="M104" s="55">
        <f t="shared" si="61"/>
        <v>11323</v>
      </c>
      <c r="N104" s="55">
        <f t="shared" si="61"/>
        <v>126659</v>
      </c>
      <c r="O104" s="55">
        <f t="shared" si="61"/>
        <v>17282.3</v>
      </c>
      <c r="P104" s="55">
        <f t="shared" si="61"/>
        <v>125668.7</v>
      </c>
      <c r="Q104" s="55">
        <f t="shared" si="61"/>
        <v>227972</v>
      </c>
      <c r="R104" s="55">
        <f t="shared" si="61"/>
        <v>38379</v>
      </c>
      <c r="S104" s="55">
        <f t="shared" si="61"/>
        <v>231189</v>
      </c>
      <c r="T104" s="55">
        <f t="shared" si="61"/>
        <v>200797</v>
      </c>
      <c r="U104" s="55">
        <f t="shared" si="61"/>
        <v>573266</v>
      </c>
      <c r="V104" s="55">
        <f>SUM(ABS(V100),ABS(V101),ABS(V102),ABS(V103))</f>
        <v>952514.8600000001</v>
      </c>
    </row>
    <row r="105" spans="1:41" s="75" customFormat="1" ht="25.5" x14ac:dyDescent="0.35">
      <c r="C105" s="60"/>
      <c r="E105" s="81" t="s">
        <v>84</v>
      </c>
      <c r="F105" s="92" t="str">
        <f>IF(F99&gt;0,"J","")</f>
        <v/>
      </c>
      <c r="G105" s="92" t="str">
        <f t="shared" ref="G105:V105" si="62">IF(G99&gt;0,"J","")</f>
        <v/>
      </c>
      <c r="H105" s="92" t="str">
        <f t="shared" si="62"/>
        <v/>
      </c>
      <c r="I105" s="92" t="str">
        <f t="shared" si="62"/>
        <v/>
      </c>
      <c r="J105" s="92" t="str">
        <f t="shared" si="62"/>
        <v/>
      </c>
      <c r="K105" s="92" t="str">
        <f t="shared" si="62"/>
        <v/>
      </c>
      <c r="L105" s="92" t="str">
        <f t="shared" si="62"/>
        <v/>
      </c>
      <c r="M105" s="92" t="str">
        <f t="shared" si="62"/>
        <v>J</v>
      </c>
      <c r="N105" s="92" t="str">
        <f t="shared" si="62"/>
        <v>J</v>
      </c>
      <c r="O105" s="92" t="str">
        <f t="shared" si="62"/>
        <v/>
      </c>
      <c r="P105" s="92" t="str">
        <f t="shared" si="62"/>
        <v>J</v>
      </c>
      <c r="Q105" s="92" t="str">
        <f t="shared" si="62"/>
        <v>J</v>
      </c>
      <c r="R105" s="92" t="str">
        <f t="shared" si="62"/>
        <v>J</v>
      </c>
      <c r="S105" s="92" t="str">
        <f t="shared" si="62"/>
        <v>J</v>
      </c>
      <c r="T105" s="92" t="str">
        <f t="shared" si="62"/>
        <v/>
      </c>
      <c r="U105" s="92" t="str">
        <f t="shared" si="62"/>
        <v>J</v>
      </c>
      <c r="V105" s="92" t="str">
        <f t="shared" si="62"/>
        <v>J</v>
      </c>
    </row>
    <row r="106" spans="1:41" s="75" customFormat="1" ht="25.5" x14ac:dyDescent="0.35">
      <c r="C106" s="60"/>
      <c r="E106" s="81" t="s">
        <v>85</v>
      </c>
      <c r="F106" s="93" t="str">
        <f>IF(F99&lt;0,"K","")</f>
        <v/>
      </c>
      <c r="G106" s="93" t="str">
        <f t="shared" ref="G106:V106" si="63">IF(G99&lt;0,"K","")</f>
        <v/>
      </c>
      <c r="H106" s="93" t="str">
        <f t="shared" si="63"/>
        <v/>
      </c>
      <c r="I106" s="93" t="str">
        <f t="shared" si="63"/>
        <v/>
      </c>
      <c r="J106" s="93" t="str">
        <f t="shared" si="63"/>
        <v/>
      </c>
      <c r="K106" s="93" t="str">
        <f t="shared" si="63"/>
        <v/>
      </c>
      <c r="L106" s="93" t="str">
        <f t="shared" si="63"/>
        <v/>
      </c>
      <c r="M106" s="93" t="str">
        <f t="shared" si="63"/>
        <v/>
      </c>
      <c r="N106" s="93" t="str">
        <f t="shared" si="63"/>
        <v/>
      </c>
      <c r="O106" s="93" t="str">
        <f t="shared" si="63"/>
        <v>K</v>
      </c>
      <c r="P106" s="93" t="str">
        <f t="shared" si="63"/>
        <v/>
      </c>
      <c r="Q106" s="93" t="str">
        <f t="shared" si="63"/>
        <v/>
      </c>
      <c r="R106" s="93" t="str">
        <f t="shared" si="63"/>
        <v/>
      </c>
      <c r="S106" s="93" t="str">
        <f t="shared" si="63"/>
        <v/>
      </c>
      <c r="T106" s="93" t="str">
        <f t="shared" si="63"/>
        <v>K</v>
      </c>
      <c r="U106" s="93" t="str">
        <f t="shared" si="63"/>
        <v/>
      </c>
      <c r="V106" s="93" t="str">
        <f t="shared" si="63"/>
        <v/>
      </c>
    </row>
    <row r="107" spans="1:41" ht="47.25" x14ac:dyDescent="0.25">
      <c r="B107" s="29"/>
      <c r="C107" s="60"/>
      <c r="D107" s="14"/>
      <c r="E107" s="79" t="s">
        <v>62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3"/>
      <c r="T107" s="83"/>
      <c r="U107" s="84"/>
      <c r="V107" s="84"/>
      <c r="W107" s="84"/>
      <c r="X107" s="84"/>
    </row>
    <row r="108" spans="1:41" s="68" customFormat="1" ht="47.25" x14ac:dyDescent="0.25">
      <c r="A108" s="29"/>
      <c r="B108" s="129" t="s">
        <v>58</v>
      </c>
      <c r="C108" s="130"/>
      <c r="D108" s="133"/>
      <c r="E108" s="80" t="s">
        <v>69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41" s="67" customFormat="1" ht="15.75" x14ac:dyDescent="0.25">
      <c r="A109" s="29"/>
      <c r="B109" s="29"/>
      <c r="C109" s="37" t="s">
        <v>38</v>
      </c>
      <c r="D109" s="135" t="s">
        <v>60</v>
      </c>
      <c r="E109" s="63"/>
      <c r="F109" s="63">
        <f t="shared" ref="F109:V109" si="64">F$58</f>
        <v>2006</v>
      </c>
      <c r="G109" s="63">
        <f t="shared" si="64"/>
        <v>2007</v>
      </c>
      <c r="H109" s="63">
        <f t="shared" si="64"/>
        <v>2008</v>
      </c>
      <c r="I109" s="63">
        <f t="shared" si="64"/>
        <v>2009</v>
      </c>
      <c r="J109" s="63">
        <f t="shared" si="64"/>
        <v>2010</v>
      </c>
      <c r="K109" s="63">
        <f t="shared" si="64"/>
        <v>2011</v>
      </c>
      <c r="L109" s="63">
        <f t="shared" si="64"/>
        <v>2012</v>
      </c>
      <c r="M109" s="63">
        <f t="shared" si="64"/>
        <v>2013</v>
      </c>
      <c r="N109" s="63">
        <f t="shared" si="64"/>
        <v>2014</v>
      </c>
      <c r="O109" s="63">
        <f t="shared" si="64"/>
        <v>2015</v>
      </c>
      <c r="P109" s="63">
        <f t="shared" si="64"/>
        <v>2016</v>
      </c>
      <c r="Q109" s="63">
        <f t="shared" si="64"/>
        <v>2017</v>
      </c>
      <c r="R109" s="63">
        <f t="shared" si="64"/>
        <v>2018</v>
      </c>
      <c r="S109" s="63">
        <f t="shared" si="64"/>
        <v>2019</v>
      </c>
      <c r="T109" s="63">
        <f t="shared" si="64"/>
        <v>2020</v>
      </c>
      <c r="U109" s="63">
        <f t="shared" si="64"/>
        <v>2021</v>
      </c>
      <c r="V109" s="63">
        <f t="shared" si="64"/>
        <v>2022</v>
      </c>
      <c r="W109" s="63"/>
    </row>
    <row r="110" spans="1:41" ht="15.75" x14ac:dyDescent="0.25">
      <c r="B110" s="29"/>
      <c r="C110" s="37"/>
      <c r="D110" s="135"/>
      <c r="E110" s="63" t="s">
        <v>71</v>
      </c>
      <c r="F110" s="64">
        <v>0</v>
      </c>
      <c r="G110" s="64">
        <v>0</v>
      </c>
      <c r="H110" s="64">
        <v>0</v>
      </c>
      <c r="I110" s="64">
        <v>0</v>
      </c>
      <c r="J110" s="64">
        <v>0</v>
      </c>
      <c r="K110" s="64">
        <v>0</v>
      </c>
      <c r="L110" s="64">
        <v>0</v>
      </c>
      <c r="M110" s="94">
        <f t="shared" ref="M110:V110" si="65">M59/SUM(M59:M61)</f>
        <v>0.20630574935971033</v>
      </c>
      <c r="N110" s="64">
        <f t="shared" si="65"/>
        <v>0.18500239161629778</v>
      </c>
      <c r="O110" s="64">
        <f t="shared" si="65"/>
        <v>0.1699115857270303</v>
      </c>
      <c r="P110" s="65">
        <f t="shared" si="65"/>
        <v>0.177810254048968</v>
      </c>
      <c r="Q110" s="86">
        <f t="shared" si="65"/>
        <v>0.22239898519447299</v>
      </c>
      <c r="R110" s="91">
        <f t="shared" si="65"/>
        <v>0.21504569229486126</v>
      </c>
      <c r="S110" s="91">
        <f t="shared" si="65"/>
        <v>0.20458192000026384</v>
      </c>
      <c r="T110" s="91">
        <f t="shared" si="65"/>
        <v>0.23570224800370326</v>
      </c>
      <c r="U110" s="91">
        <f t="shared" si="65"/>
        <v>0.24270671255020879</v>
      </c>
      <c r="V110" s="91">
        <f t="shared" si="65"/>
        <v>0.1414645224875026</v>
      </c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</row>
    <row r="111" spans="1:41" ht="15.75" x14ac:dyDescent="0.25">
      <c r="B111" s="29"/>
      <c r="C111" s="60"/>
      <c r="D111" s="29"/>
      <c r="E111" s="63" t="s">
        <v>72</v>
      </c>
      <c r="F111" s="54"/>
      <c r="G111" s="54"/>
      <c r="H111" s="54"/>
      <c r="I111" s="54"/>
      <c r="J111" s="54"/>
      <c r="K111" s="54"/>
      <c r="L111" s="54"/>
      <c r="M111" s="61">
        <f t="shared" ref="M111:T111" si="66">M75/SUM(M75:M77)</f>
        <v>0.20630574935971033</v>
      </c>
      <c r="N111" s="61">
        <f t="shared" si="66"/>
        <v>0.18500507319901435</v>
      </c>
      <c r="O111" s="61">
        <f t="shared" si="66"/>
        <v>0.1715240499709946</v>
      </c>
      <c r="P111" s="61">
        <f t="shared" si="66"/>
        <v>0.17589200470703167</v>
      </c>
      <c r="Q111" s="61">
        <f t="shared" si="66"/>
        <v>0.17335101489791285</v>
      </c>
      <c r="R111" s="61">
        <f t="shared" si="66"/>
        <v>0.17334765508537917</v>
      </c>
      <c r="S111" s="61">
        <f t="shared" si="66"/>
        <v>0.1655680088556801</v>
      </c>
      <c r="T111" s="61">
        <f t="shared" si="66"/>
        <v>0.19196542079837275</v>
      </c>
      <c r="U111" s="61">
        <f t="shared" ref="U111:V111" si="67">U75/SUM(U75:U77)</f>
        <v>0.26929136339288529</v>
      </c>
      <c r="V111" s="61">
        <f t="shared" si="67"/>
        <v>0.2662318637504299</v>
      </c>
    </row>
    <row r="112" spans="1:41" ht="15.75" x14ac:dyDescent="0.25">
      <c r="B112" s="29"/>
      <c r="C112" s="60"/>
      <c r="D112" s="29"/>
      <c r="E112" s="63" t="s">
        <v>73</v>
      </c>
      <c r="F112" s="55"/>
      <c r="G112" s="55"/>
      <c r="H112" s="55"/>
      <c r="I112" s="55"/>
      <c r="J112" s="55"/>
      <c r="K112" s="55"/>
      <c r="L112" s="55"/>
      <c r="M112" s="62">
        <v>0</v>
      </c>
      <c r="N112" s="62">
        <v>0</v>
      </c>
      <c r="O112" s="61">
        <f t="shared" ref="O112:T112" si="68">O67/SUM(O67:O69)</f>
        <v>5.3500855305845578E-2</v>
      </c>
      <c r="P112" s="61">
        <f t="shared" si="68"/>
        <v>0.18277561459216368</v>
      </c>
      <c r="Q112" s="61">
        <f t="shared" si="68"/>
        <v>0.27674765464349699</v>
      </c>
      <c r="R112" s="61">
        <f t="shared" si="68"/>
        <v>0.25450554037497536</v>
      </c>
      <c r="S112" s="61">
        <f t="shared" si="68"/>
        <v>0.25010527753434325</v>
      </c>
      <c r="T112" s="61">
        <f t="shared" si="68"/>
        <v>0.23311473340841132</v>
      </c>
      <c r="U112" s="61">
        <f t="shared" ref="U112:V112" si="69">U67/SUM(U67:U69)</f>
        <v>0.25122420571495524</v>
      </c>
      <c r="V112" s="61">
        <f t="shared" si="69"/>
        <v>0.25148892262857331</v>
      </c>
    </row>
    <row r="113" spans="2:22" ht="15.75" x14ac:dyDescent="0.25">
      <c r="B113" s="29"/>
      <c r="C113" s="60"/>
      <c r="D113" s="29"/>
      <c r="E113" s="63" t="s">
        <v>74</v>
      </c>
      <c r="F113" s="55"/>
      <c r="G113" s="55"/>
      <c r="H113" s="55"/>
      <c r="I113" s="55"/>
      <c r="J113" s="55"/>
      <c r="K113" s="55"/>
      <c r="L113" s="55"/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1">
        <f>S91/SUM(S91:S93)</f>
        <v>8.4118438761776576E-2</v>
      </c>
      <c r="T113" s="61">
        <f>T91/SUM(T91:T93)</f>
        <v>0.48730964467005078</v>
      </c>
      <c r="U113" s="61">
        <f>U91/SUM(U91:U93)</f>
        <v>0.24284365477876485</v>
      </c>
      <c r="V113" s="61">
        <f>V91/SUM(V91:V93)</f>
        <v>2.5642713533077906E-2</v>
      </c>
    </row>
    <row r="114" spans="2:22" ht="15.75" x14ac:dyDescent="0.25">
      <c r="B114" s="29"/>
      <c r="C114" s="60"/>
      <c r="D114" s="29"/>
      <c r="E114" s="63" t="s">
        <v>75</v>
      </c>
      <c r="F114" s="55"/>
      <c r="G114" s="55"/>
      <c r="H114" s="55"/>
      <c r="I114" s="55"/>
      <c r="J114" s="55"/>
      <c r="K114" s="55"/>
      <c r="L114" s="55"/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1">
        <f>T83/SUM(T83:T85)</f>
        <v>7.8199954313561262E-2</v>
      </c>
      <c r="U114" s="61">
        <f>U83/SUM(U83:U85)</f>
        <v>0.19074571164659132</v>
      </c>
      <c r="V114" s="61">
        <f>V83/SUM(V83:V85)</f>
        <v>0.20967140844800272</v>
      </c>
    </row>
    <row r="115" spans="2:22" s="75" customFormat="1" ht="15.75" x14ac:dyDescent="0.25">
      <c r="C115" s="60"/>
      <c r="E115" s="81" t="s">
        <v>82</v>
      </c>
      <c r="F115" s="55">
        <f>SUM(ABS(F111),ABS(F112),ABS(F113),ABS(F114))</f>
        <v>0</v>
      </c>
      <c r="G115" s="55">
        <f t="shared" ref="G115:V115" si="70">MAX(G110:G114)</f>
        <v>0</v>
      </c>
      <c r="H115" s="88">
        <f t="shared" si="70"/>
        <v>0</v>
      </c>
      <c r="I115" s="88">
        <f t="shared" si="70"/>
        <v>0</v>
      </c>
      <c r="J115" s="88">
        <f t="shared" si="70"/>
        <v>0</v>
      </c>
      <c r="K115" s="88">
        <f t="shared" si="70"/>
        <v>0</v>
      </c>
      <c r="L115" s="88">
        <f t="shared" si="70"/>
        <v>0</v>
      </c>
      <c r="M115" s="88">
        <f>MAX(M110:M114)</f>
        <v>0.20630574935971033</v>
      </c>
      <c r="N115" s="88">
        <f t="shared" si="70"/>
        <v>0.18500507319901435</v>
      </c>
      <c r="O115" s="88">
        <f t="shared" si="70"/>
        <v>0.1715240499709946</v>
      </c>
      <c r="P115" s="88">
        <f t="shared" si="70"/>
        <v>0.18277561459216368</v>
      </c>
      <c r="Q115" s="88">
        <f t="shared" si="70"/>
        <v>0.27674765464349699</v>
      </c>
      <c r="R115" s="88">
        <f t="shared" si="70"/>
        <v>0.25450554037497536</v>
      </c>
      <c r="S115" s="88">
        <f t="shared" si="70"/>
        <v>0.25010527753434325</v>
      </c>
      <c r="T115" s="88">
        <f t="shared" si="70"/>
        <v>0.48730964467005078</v>
      </c>
      <c r="U115" s="88">
        <f t="shared" si="70"/>
        <v>0.26929136339288529</v>
      </c>
      <c r="V115" s="88">
        <f t="shared" si="70"/>
        <v>0.2662318637504299</v>
      </c>
    </row>
    <row r="116" spans="2:22" s="75" customFormat="1" ht="25.5" x14ac:dyDescent="0.35">
      <c r="C116" s="60"/>
      <c r="E116" s="81" t="s">
        <v>84</v>
      </c>
      <c r="F116" s="89" t="str">
        <f>IF(F110&lt;E110,"J","")</f>
        <v>J</v>
      </c>
      <c r="G116" s="89" t="str">
        <f t="shared" ref="G116:V116" si="71">IF(G110&lt;F110,"J","")</f>
        <v/>
      </c>
      <c r="H116" s="89" t="str">
        <f t="shared" si="71"/>
        <v/>
      </c>
      <c r="I116" s="89" t="str">
        <f t="shared" si="71"/>
        <v/>
      </c>
      <c r="J116" s="89" t="str">
        <f t="shared" si="71"/>
        <v/>
      </c>
      <c r="K116" s="89" t="str">
        <f t="shared" si="71"/>
        <v/>
      </c>
      <c r="L116" s="89" t="str">
        <f t="shared" si="71"/>
        <v/>
      </c>
      <c r="M116" s="89" t="s">
        <v>83</v>
      </c>
      <c r="N116" s="89" t="str">
        <f t="shared" si="71"/>
        <v>J</v>
      </c>
      <c r="O116" s="89" t="str">
        <f t="shared" si="71"/>
        <v>J</v>
      </c>
      <c r="P116" s="89" t="str">
        <f t="shared" si="71"/>
        <v/>
      </c>
      <c r="Q116" s="89" t="str">
        <f t="shared" si="71"/>
        <v/>
      </c>
      <c r="R116" s="89" t="str">
        <f t="shared" si="71"/>
        <v>J</v>
      </c>
      <c r="S116" s="89" t="str">
        <f t="shared" si="71"/>
        <v>J</v>
      </c>
      <c r="T116" s="89" t="str">
        <f t="shared" si="71"/>
        <v/>
      </c>
      <c r="U116" s="89" t="str">
        <f t="shared" si="71"/>
        <v/>
      </c>
      <c r="V116" s="89" t="str">
        <f t="shared" si="71"/>
        <v>J</v>
      </c>
    </row>
    <row r="117" spans="2:22" s="75" customFormat="1" ht="25.5" x14ac:dyDescent="0.35">
      <c r="C117" s="60"/>
      <c r="E117" s="81" t="s">
        <v>85</v>
      </c>
      <c r="F117" s="90" t="str">
        <f>IF(F110&gt;E110,"K","")</f>
        <v/>
      </c>
      <c r="G117" s="90" t="str">
        <f t="shared" ref="G117:V117" si="72">IF(G110&gt;F110,"K","")</f>
        <v/>
      </c>
      <c r="H117" s="90" t="str">
        <f t="shared" si="72"/>
        <v/>
      </c>
      <c r="I117" s="90" t="str">
        <f t="shared" si="72"/>
        <v/>
      </c>
      <c r="J117" s="90" t="str">
        <f t="shared" si="72"/>
        <v/>
      </c>
      <c r="K117" s="90" t="str">
        <f t="shared" si="72"/>
        <v/>
      </c>
      <c r="L117" s="90" t="str">
        <f t="shared" si="72"/>
        <v/>
      </c>
      <c r="M117" s="90"/>
      <c r="N117" s="90" t="str">
        <f t="shared" si="72"/>
        <v/>
      </c>
      <c r="O117" s="90" t="str">
        <f t="shared" si="72"/>
        <v/>
      </c>
      <c r="P117" s="90" t="str">
        <f t="shared" si="72"/>
        <v>K</v>
      </c>
      <c r="Q117" s="90" t="str">
        <f t="shared" si="72"/>
        <v>K</v>
      </c>
      <c r="R117" s="90" t="str">
        <f t="shared" si="72"/>
        <v/>
      </c>
      <c r="S117" s="90" t="str">
        <f t="shared" si="72"/>
        <v/>
      </c>
      <c r="T117" s="90" t="str">
        <f t="shared" si="72"/>
        <v>K</v>
      </c>
      <c r="U117" s="90" t="str">
        <f t="shared" si="72"/>
        <v>K</v>
      </c>
      <c r="V117" s="90" t="str">
        <f t="shared" si="72"/>
        <v/>
      </c>
    </row>
    <row r="118" spans="2:22" ht="63" x14ac:dyDescent="0.25">
      <c r="E118" s="79" t="s">
        <v>61</v>
      </c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3"/>
      <c r="T118" s="83"/>
    </row>
    <row r="119" spans="2:22" x14ac:dyDescent="0.25">
      <c r="E119"/>
      <c r="F119"/>
      <c r="G119"/>
      <c r="H119"/>
      <c r="I119"/>
      <c r="J119"/>
      <c r="K119"/>
    </row>
    <row r="120" spans="2:22" x14ac:dyDescent="0.25">
      <c r="E120"/>
      <c r="F120"/>
      <c r="G120"/>
      <c r="H120"/>
      <c r="I120"/>
      <c r="J120"/>
      <c r="K120"/>
    </row>
    <row r="121" spans="2:22" x14ac:dyDescent="0.25">
      <c r="E121"/>
      <c r="F121"/>
      <c r="G121"/>
      <c r="H121"/>
      <c r="I121"/>
      <c r="J121"/>
      <c r="K121"/>
    </row>
    <row r="122" spans="2:22" x14ac:dyDescent="0.25">
      <c r="E122"/>
      <c r="F122"/>
      <c r="G122"/>
      <c r="H122"/>
      <c r="I122"/>
      <c r="J122"/>
      <c r="K122"/>
    </row>
    <row r="123" spans="2:22" ht="19.5" customHeight="1" x14ac:dyDescent="0.4">
      <c r="E123"/>
      <c r="F123" s="85"/>
      <c r="G123"/>
      <c r="H123"/>
      <c r="I123"/>
      <c r="J123"/>
      <c r="K123"/>
    </row>
    <row r="124" spans="2:22" x14ac:dyDescent="0.25">
      <c r="E124"/>
      <c r="F124"/>
      <c r="G124"/>
      <c r="H124"/>
      <c r="I124"/>
      <c r="J124"/>
      <c r="K124"/>
    </row>
    <row r="125" spans="2:22" ht="18" customHeight="1" x14ac:dyDescent="0.4">
      <c r="E125"/>
      <c r="F125"/>
      <c r="G125"/>
      <c r="H125"/>
      <c r="I125"/>
      <c r="J125"/>
      <c r="K125"/>
      <c r="Q125" s="87"/>
    </row>
    <row r="126" spans="2:22" x14ac:dyDescent="0.25">
      <c r="E126"/>
      <c r="F126"/>
      <c r="G126"/>
      <c r="H126"/>
      <c r="I126"/>
      <c r="J126"/>
      <c r="K126"/>
    </row>
    <row r="127" spans="2:22" x14ac:dyDescent="0.25">
      <c r="E127"/>
      <c r="F127"/>
      <c r="G127"/>
      <c r="H127"/>
      <c r="I127"/>
      <c r="J127"/>
      <c r="K127"/>
    </row>
    <row r="128" spans="2:22" x14ac:dyDescent="0.25">
      <c r="E128"/>
      <c r="F128"/>
      <c r="G128"/>
      <c r="H128"/>
      <c r="I128"/>
      <c r="J128"/>
      <c r="K128"/>
    </row>
    <row r="129" spans="5:11" x14ac:dyDescent="0.25">
      <c r="E129"/>
      <c r="F129"/>
      <c r="G129"/>
      <c r="H129"/>
      <c r="I129"/>
      <c r="J129"/>
      <c r="K129"/>
    </row>
    <row r="130" spans="5:11" x14ac:dyDescent="0.25">
      <c r="E130"/>
      <c r="F130"/>
      <c r="G130"/>
      <c r="H130"/>
      <c r="I130"/>
      <c r="J130"/>
      <c r="K130"/>
    </row>
    <row r="131" spans="5:11" x14ac:dyDescent="0.25">
      <c r="E131"/>
      <c r="F131"/>
      <c r="G131"/>
      <c r="H131"/>
      <c r="I131"/>
      <c r="J131"/>
      <c r="K131"/>
    </row>
    <row r="132" spans="5:11" x14ac:dyDescent="0.25">
      <c r="E132"/>
      <c r="F132"/>
      <c r="G132"/>
      <c r="H132"/>
      <c r="I132"/>
      <c r="J132"/>
      <c r="K132"/>
    </row>
    <row r="133" spans="5:11" x14ac:dyDescent="0.25">
      <c r="E133"/>
      <c r="F133"/>
      <c r="G133"/>
      <c r="H133"/>
      <c r="I133"/>
      <c r="J133"/>
      <c r="K133"/>
    </row>
    <row r="134" spans="5:11" x14ac:dyDescent="0.25">
      <c r="E134"/>
      <c r="F134"/>
      <c r="G134"/>
      <c r="H134"/>
      <c r="I134"/>
      <c r="J134"/>
      <c r="K134"/>
    </row>
    <row r="135" spans="5:11" x14ac:dyDescent="0.25">
      <c r="E135"/>
      <c r="F135"/>
      <c r="G135"/>
      <c r="H135"/>
      <c r="I135"/>
      <c r="J135"/>
      <c r="K135"/>
    </row>
    <row r="136" spans="5:11" x14ac:dyDescent="0.25">
      <c r="E136"/>
      <c r="F136"/>
      <c r="G136"/>
      <c r="H136"/>
      <c r="I136"/>
      <c r="J136"/>
      <c r="K136"/>
    </row>
    <row r="137" spans="5:11" x14ac:dyDescent="0.25">
      <c r="E137"/>
      <c r="F137"/>
      <c r="G137"/>
      <c r="H137"/>
      <c r="I137"/>
      <c r="J137"/>
      <c r="K137"/>
    </row>
    <row r="138" spans="5:11" x14ac:dyDescent="0.25">
      <c r="E138"/>
      <c r="F138"/>
      <c r="G138"/>
      <c r="H138"/>
      <c r="I138"/>
      <c r="J138"/>
      <c r="K138"/>
    </row>
    <row r="139" spans="5:11" x14ac:dyDescent="0.25">
      <c r="E139"/>
      <c r="F139"/>
      <c r="G139"/>
      <c r="H139"/>
      <c r="I139"/>
      <c r="J139"/>
      <c r="K139"/>
    </row>
    <row r="140" spans="5:11" x14ac:dyDescent="0.25">
      <c r="E140"/>
      <c r="F140"/>
      <c r="G140"/>
      <c r="H140"/>
      <c r="I140"/>
      <c r="J140"/>
      <c r="K140"/>
    </row>
    <row r="141" spans="5:11" x14ac:dyDescent="0.25">
      <c r="E141"/>
      <c r="F141"/>
      <c r="G141"/>
      <c r="H141"/>
      <c r="I141"/>
      <c r="J141"/>
      <c r="K141"/>
    </row>
    <row r="142" spans="5:11" x14ac:dyDescent="0.25">
      <c r="E142"/>
      <c r="F142"/>
      <c r="G142"/>
      <c r="H142"/>
      <c r="I142"/>
      <c r="J142"/>
      <c r="K142"/>
    </row>
    <row r="143" spans="5:11" x14ac:dyDescent="0.25">
      <c r="E143"/>
      <c r="F143"/>
      <c r="G143"/>
      <c r="H143"/>
      <c r="I143"/>
      <c r="J143"/>
      <c r="K143"/>
    </row>
    <row r="144" spans="5:11" x14ac:dyDescent="0.25">
      <c r="E144"/>
      <c r="F144"/>
      <c r="G144"/>
      <c r="H144"/>
      <c r="I144"/>
      <c r="J144"/>
      <c r="K144"/>
    </row>
    <row r="145" spans="5:11" x14ac:dyDescent="0.25">
      <c r="E145"/>
      <c r="F145"/>
      <c r="G145"/>
      <c r="H145"/>
      <c r="I145"/>
      <c r="J145"/>
      <c r="K145"/>
    </row>
    <row r="146" spans="5:11" x14ac:dyDescent="0.25">
      <c r="E146"/>
      <c r="F146"/>
      <c r="G146"/>
      <c r="H146"/>
      <c r="I146"/>
      <c r="J146"/>
      <c r="K146"/>
    </row>
    <row r="147" spans="5:11" x14ac:dyDescent="0.25">
      <c r="E147"/>
      <c r="F147"/>
      <c r="G147"/>
      <c r="H147"/>
      <c r="I147"/>
      <c r="J147"/>
      <c r="K147"/>
    </row>
    <row r="148" spans="5:11" x14ac:dyDescent="0.25">
      <c r="E148"/>
      <c r="F148"/>
      <c r="G148"/>
      <c r="H148"/>
      <c r="I148"/>
      <c r="J148"/>
      <c r="K148"/>
    </row>
    <row r="149" spans="5:11" x14ac:dyDescent="0.25">
      <c r="E149"/>
      <c r="F149"/>
      <c r="G149"/>
      <c r="H149"/>
      <c r="I149"/>
      <c r="J149"/>
      <c r="K149"/>
    </row>
    <row r="150" spans="5:11" x14ac:dyDescent="0.25">
      <c r="E150"/>
      <c r="F150"/>
      <c r="G150"/>
      <c r="H150"/>
      <c r="I150"/>
      <c r="J150"/>
      <c r="K150"/>
    </row>
    <row r="151" spans="5:11" x14ac:dyDescent="0.25">
      <c r="E151"/>
      <c r="F151"/>
      <c r="G151"/>
      <c r="H151"/>
      <c r="I151"/>
      <c r="J151"/>
      <c r="K151"/>
    </row>
    <row r="152" spans="5:11" x14ac:dyDescent="0.25">
      <c r="E152"/>
      <c r="F152"/>
      <c r="G152"/>
      <c r="H152"/>
      <c r="I152"/>
      <c r="J152"/>
      <c r="K152"/>
    </row>
    <row r="153" spans="5:11" x14ac:dyDescent="0.25">
      <c r="E153"/>
      <c r="F153"/>
      <c r="G153"/>
      <c r="H153"/>
      <c r="I153"/>
      <c r="J153"/>
      <c r="K153"/>
    </row>
    <row r="154" spans="5:11" x14ac:dyDescent="0.25">
      <c r="E154"/>
      <c r="F154"/>
      <c r="G154"/>
      <c r="H154"/>
      <c r="I154"/>
      <c r="J154"/>
      <c r="K154"/>
    </row>
    <row r="155" spans="5:11" x14ac:dyDescent="0.25">
      <c r="E155"/>
      <c r="F155"/>
      <c r="G155"/>
      <c r="H155"/>
      <c r="I155"/>
      <c r="J155"/>
      <c r="K155"/>
    </row>
    <row r="156" spans="5:11" x14ac:dyDescent="0.25">
      <c r="E156"/>
      <c r="F156"/>
      <c r="G156"/>
      <c r="H156"/>
      <c r="I156"/>
      <c r="J156"/>
      <c r="K156"/>
    </row>
    <row r="157" spans="5:11" x14ac:dyDescent="0.25">
      <c r="E157"/>
      <c r="F157"/>
      <c r="G157"/>
      <c r="H157"/>
      <c r="I157"/>
      <c r="J157"/>
      <c r="K157"/>
    </row>
    <row r="158" spans="5:11" x14ac:dyDescent="0.25">
      <c r="E158"/>
      <c r="F158"/>
      <c r="G158"/>
      <c r="H158"/>
      <c r="I158"/>
      <c r="J158"/>
      <c r="K158"/>
    </row>
    <row r="159" spans="5:11" x14ac:dyDescent="0.25">
      <c r="E159"/>
      <c r="F159"/>
      <c r="G159"/>
      <c r="H159"/>
      <c r="I159"/>
      <c r="J159"/>
      <c r="K159"/>
    </row>
    <row r="160" spans="5:11" x14ac:dyDescent="0.25">
      <c r="E160"/>
      <c r="F160"/>
      <c r="G160"/>
      <c r="H160"/>
      <c r="I160"/>
      <c r="J160"/>
      <c r="K160"/>
    </row>
    <row r="161" spans="5:11" x14ac:dyDescent="0.25">
      <c r="E161"/>
      <c r="F161"/>
      <c r="G161"/>
      <c r="H161"/>
      <c r="I161"/>
      <c r="J161"/>
      <c r="K161"/>
    </row>
    <row r="162" spans="5:11" x14ac:dyDescent="0.25">
      <c r="E162"/>
      <c r="F162"/>
      <c r="G162"/>
      <c r="H162"/>
      <c r="I162"/>
      <c r="J162"/>
      <c r="K162"/>
    </row>
    <row r="163" spans="5:11" x14ac:dyDescent="0.25">
      <c r="E163"/>
      <c r="F163"/>
      <c r="G163"/>
      <c r="H163"/>
      <c r="I163"/>
      <c r="J163"/>
      <c r="K163"/>
    </row>
    <row r="164" spans="5:11" x14ac:dyDescent="0.25">
      <c r="E164"/>
      <c r="F164"/>
      <c r="G164"/>
      <c r="H164"/>
      <c r="I164"/>
      <c r="J164"/>
      <c r="K164"/>
    </row>
    <row r="186" spans="2:15" ht="46.5" customHeight="1" x14ac:dyDescent="0.25">
      <c r="B186" s="129" t="s">
        <v>86</v>
      </c>
      <c r="C186" s="130"/>
      <c r="D186" s="130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</row>
    <row r="187" spans="2:15" s="52" customFormat="1" ht="22.5" x14ac:dyDescent="0.25">
      <c r="D187" s="121" t="s">
        <v>98</v>
      </c>
      <c r="E187" s="120" t="s">
        <v>64</v>
      </c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 x14ac:dyDescent="0.25">
      <c r="E188" s="101" t="s">
        <v>90</v>
      </c>
      <c r="F188" s="101" cm="1">
        <f t="array" aca="1" ref="F188:O188" ca="1">'07b_ev_load_kwh'!b_Total_Load_Year</f>
        <v>2013</v>
      </c>
      <c r="G188" s="101">
        <f ca="1"/>
        <v>2014</v>
      </c>
      <c r="H188" s="101">
        <f ca="1"/>
        <v>2015</v>
      </c>
      <c r="I188" s="101">
        <f ca="1"/>
        <v>2016</v>
      </c>
      <c r="J188" s="101">
        <f ca="1"/>
        <v>2017</v>
      </c>
      <c r="K188" s="101">
        <f ca="1"/>
        <v>2018</v>
      </c>
      <c r="L188" s="101">
        <f ca="1"/>
        <v>2019</v>
      </c>
      <c r="M188" s="101">
        <f ca="1"/>
        <v>2020</v>
      </c>
      <c r="N188" s="101">
        <f ca="1"/>
        <v>2021</v>
      </c>
      <c r="O188" s="101">
        <f ca="1"/>
        <v>2022</v>
      </c>
    </row>
    <row r="189" spans="2:15" x14ac:dyDescent="0.25">
      <c r="E189" s="101" t="s">
        <v>87</v>
      </c>
      <c r="F189" s="102" cm="1">
        <f t="array" aca="1" ref="F189:O189" ca="1">'07b_ev_load_kwh'!b_Total_Annual_Peak</f>
        <v>2336</v>
      </c>
      <c r="G189" s="102">
        <f ca="1"/>
        <v>25527</v>
      </c>
      <c r="H189" s="102">
        <f ca="1"/>
        <v>21083.7</v>
      </c>
      <c r="I189" s="102">
        <f ca="1"/>
        <v>44409</v>
      </c>
      <c r="J189" s="102">
        <f ca="1"/>
        <v>106246</v>
      </c>
      <c r="K189" s="102">
        <f ca="1"/>
        <v>108294</v>
      </c>
      <c r="L189" s="102">
        <f ca="1"/>
        <v>124064</v>
      </c>
      <c r="M189" s="103">
        <f ca="1"/>
        <v>130349</v>
      </c>
      <c r="N189" s="103">
        <f ca="1"/>
        <v>256441</v>
      </c>
      <c r="O189" s="103">
        <f ca="1"/>
        <v>269343.89</v>
      </c>
    </row>
    <row r="190" spans="2:15" x14ac:dyDescent="0.25">
      <c r="E190" s="101" t="s">
        <v>88</v>
      </c>
      <c r="F190" s="102" cm="1">
        <f t="array" aca="1" ref="F190:O190" ca="1">'07b_ev_load_kwh'!b_Total_Annual_Off_peak</f>
        <v>1844</v>
      </c>
      <c r="G190" s="102">
        <f ca="1"/>
        <v>19900</v>
      </c>
      <c r="H190" s="102">
        <f ca="1"/>
        <v>17984.8</v>
      </c>
      <c r="I190" s="102">
        <f ca="1"/>
        <v>39172</v>
      </c>
      <c r="J190" s="102">
        <f ca="1"/>
        <v>95523</v>
      </c>
      <c r="K190" s="102">
        <f ca="1"/>
        <v>93113</v>
      </c>
      <c r="L190" s="102">
        <f ca="1"/>
        <v>161529</v>
      </c>
      <c r="M190" s="103">
        <f ca="1"/>
        <v>117804</v>
      </c>
      <c r="N190" s="103">
        <f ca="1"/>
        <v>230731</v>
      </c>
      <c r="O190" s="103">
        <f ca="1"/>
        <v>883594.69</v>
      </c>
    </row>
    <row r="191" spans="2:15" x14ac:dyDescent="0.25">
      <c r="E191" s="101" t="s">
        <v>89</v>
      </c>
      <c r="F191" s="102" cm="1">
        <f t="array" aca="1" ref="F191:O191" ca="1">'07b_ev_load_kwh'!b_Total_Annual_Daytime</f>
        <v>7143</v>
      </c>
      <c r="G191" s="102">
        <f ca="1"/>
        <v>92555</v>
      </c>
      <c r="H191" s="102">
        <f ca="1"/>
        <v>85017.8</v>
      </c>
      <c r="I191" s="102">
        <f ca="1"/>
        <v>166174</v>
      </c>
      <c r="J191" s="102">
        <f ca="1"/>
        <v>275958</v>
      </c>
      <c r="K191" s="102">
        <f ca="1"/>
        <v>302179</v>
      </c>
      <c r="L191" s="102">
        <f ca="1"/>
        <v>320834</v>
      </c>
      <c r="M191" s="103">
        <f ca="1"/>
        <v>304871</v>
      </c>
      <c r="N191" s="103">
        <f ca="1"/>
        <v>569416</v>
      </c>
      <c r="O191" s="103">
        <f ca="1"/>
        <v>751029.18</v>
      </c>
    </row>
    <row r="194" spans="4:16" s="52" customFormat="1" ht="22.5" x14ac:dyDescent="0.25">
      <c r="D194" s="121" t="s">
        <v>46</v>
      </c>
      <c r="E194" s="120" t="s">
        <v>65</v>
      </c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3"/>
    </row>
    <row r="195" spans="4:16" ht="15.75" x14ac:dyDescent="0.25">
      <c r="E195" s="101" t="s">
        <v>90</v>
      </c>
      <c r="F195" s="101" cm="1">
        <f t="array" aca="1" ref="F195:O195" ca="1">'07b_ev_load_kwh'!b_EV_U_Load_Year</f>
        <v>2013</v>
      </c>
      <c r="G195" s="101">
        <f ca="1"/>
        <v>2014</v>
      </c>
      <c r="H195" s="101">
        <f ca="1"/>
        <v>2015</v>
      </c>
      <c r="I195" s="101">
        <f ca="1"/>
        <v>2016</v>
      </c>
      <c r="J195" s="101">
        <f ca="1"/>
        <v>2017</v>
      </c>
      <c r="K195" s="101">
        <f ca="1"/>
        <v>2018</v>
      </c>
      <c r="L195" s="101">
        <f ca="1"/>
        <v>2019</v>
      </c>
      <c r="M195" s="101">
        <f ca="1"/>
        <v>2020</v>
      </c>
      <c r="N195" s="101">
        <f ca="1"/>
        <v>2021</v>
      </c>
      <c r="O195" s="104">
        <f ca="1"/>
        <v>2022</v>
      </c>
      <c r="P195" s="97"/>
    </row>
    <row r="196" spans="4:16" ht="15.75" x14ac:dyDescent="0.25">
      <c r="E196" s="101" t="s">
        <v>91</v>
      </c>
      <c r="F196" s="102" cm="1">
        <f t="array" aca="1" ref="F196:O196" ca="1">'07b_ev_load_kwh'!b_EV_U_Annual_Peak</f>
        <v>0</v>
      </c>
      <c r="G196" s="102">
        <f ca="1"/>
        <v>0</v>
      </c>
      <c r="H196" s="102">
        <f ca="1"/>
        <v>90.7</v>
      </c>
      <c r="I196" s="102">
        <f ca="1"/>
        <v>12721</v>
      </c>
      <c r="J196" s="102">
        <f ca="1"/>
        <v>62716</v>
      </c>
      <c r="K196" s="102">
        <f ca="1"/>
        <v>65850</v>
      </c>
      <c r="L196" s="102">
        <f ca="1"/>
        <v>87900</v>
      </c>
      <c r="M196" s="103">
        <f ca="1"/>
        <v>96047</v>
      </c>
      <c r="N196" s="103">
        <f ca="1"/>
        <v>197262</v>
      </c>
      <c r="O196" s="105">
        <f ca="1"/>
        <v>184249.69999999998</v>
      </c>
      <c r="P196" s="98"/>
    </row>
    <row r="197" spans="4:16" ht="15.75" x14ac:dyDescent="0.25">
      <c r="E197" s="101" t="s">
        <v>88</v>
      </c>
      <c r="F197" s="102" cm="1">
        <f t="array" aca="1" ref="F197:O197" ca="1">'07b_ev_load_kwh'!b_EV_U_Annual_Off_peak</f>
        <v>0</v>
      </c>
      <c r="G197" s="102">
        <f ca="1"/>
        <v>0</v>
      </c>
      <c r="H197" s="102">
        <f ca="1"/>
        <v>27.8</v>
      </c>
      <c r="I197" s="102">
        <f ca="1"/>
        <v>14586</v>
      </c>
      <c r="J197" s="102">
        <f ca="1"/>
        <v>55825</v>
      </c>
      <c r="K197" s="102">
        <f ca="1"/>
        <v>51146</v>
      </c>
      <c r="L197" s="102">
        <f ca="1"/>
        <v>69032</v>
      </c>
      <c r="M197" s="103">
        <f ca="1"/>
        <v>76132</v>
      </c>
      <c r="N197" s="103">
        <f ca="1"/>
        <v>161592</v>
      </c>
      <c r="O197" s="105">
        <f ca="1"/>
        <v>148910.13</v>
      </c>
      <c r="P197" s="98"/>
    </row>
    <row r="198" spans="4:16" ht="15.75" x14ac:dyDescent="0.25">
      <c r="E198" s="101" t="s">
        <v>89</v>
      </c>
      <c r="F198" s="102" cm="1">
        <f t="array" aca="1" ref="F198:O198" ca="1">'07b_ev_load_kwh'!b_EV_U_Annual_Daytime</f>
        <v>0</v>
      </c>
      <c r="G198" s="102">
        <f ca="1"/>
        <v>2</v>
      </c>
      <c r="H198" s="102">
        <f ca="1"/>
        <v>1576.8</v>
      </c>
      <c r="I198" s="102">
        <f ca="1"/>
        <v>42292</v>
      </c>
      <c r="J198" s="102">
        <f ca="1"/>
        <v>108077</v>
      </c>
      <c r="K198" s="102">
        <f ca="1"/>
        <v>141741</v>
      </c>
      <c r="L198" s="102">
        <f ca="1"/>
        <v>194520</v>
      </c>
      <c r="M198" s="103">
        <f ca="1"/>
        <v>239837</v>
      </c>
      <c r="N198" s="103">
        <f ca="1"/>
        <v>426349</v>
      </c>
      <c r="O198" s="105">
        <f ca="1"/>
        <v>399475.62000000005</v>
      </c>
      <c r="P198" s="98"/>
    </row>
    <row r="201" spans="4:16" s="52" customFormat="1" ht="22.5" x14ac:dyDescent="0.25">
      <c r="D201" s="121" t="s">
        <v>9</v>
      </c>
      <c r="E201" s="120" t="s">
        <v>66</v>
      </c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4:16" x14ac:dyDescent="0.25">
      <c r="E202" s="101" t="s">
        <v>90</v>
      </c>
      <c r="F202" s="101" cm="1">
        <f t="array" aca="1" ref="F202:O202" ca="1">'07b_ev_load_kwh'!b_EV_F_Load_Year</f>
        <v>2013</v>
      </c>
      <c r="G202" s="101">
        <f ca="1"/>
        <v>2014</v>
      </c>
      <c r="H202" s="101">
        <f ca="1"/>
        <v>2015</v>
      </c>
      <c r="I202" s="101">
        <f ca="1"/>
        <v>2016</v>
      </c>
      <c r="J202" s="101">
        <f ca="1"/>
        <v>2017</v>
      </c>
      <c r="K202" s="101">
        <f ca="1"/>
        <v>2018</v>
      </c>
      <c r="L202" s="101">
        <f ca="1"/>
        <v>2019</v>
      </c>
      <c r="M202" s="101">
        <f ca="1"/>
        <v>2020</v>
      </c>
      <c r="N202" s="101">
        <f ca="1"/>
        <v>2021</v>
      </c>
      <c r="O202" s="101">
        <f ca="1"/>
        <v>2022</v>
      </c>
    </row>
    <row r="203" spans="4:16" x14ac:dyDescent="0.25">
      <c r="E203" s="101" t="s">
        <v>92</v>
      </c>
      <c r="F203" s="102" cm="1">
        <f t="array" aca="1" ref="F203:O203" ca="1">'07b_ev_load_kwh'!b_EV_F_Annual_Peak</f>
        <v>2336</v>
      </c>
      <c r="G203" s="102">
        <f ca="1"/>
        <v>25527</v>
      </c>
      <c r="H203" s="102">
        <f ca="1"/>
        <v>20993</v>
      </c>
      <c r="I203" s="102">
        <f ca="1"/>
        <v>31688</v>
      </c>
      <c r="J203" s="102">
        <f ca="1"/>
        <v>43530</v>
      </c>
      <c r="K203" s="102">
        <f ca="1"/>
        <v>42444</v>
      </c>
      <c r="L203" s="102">
        <f ca="1"/>
        <v>29914</v>
      </c>
      <c r="M203" s="103">
        <f ca="1"/>
        <v>18875</v>
      </c>
      <c r="N203" s="103">
        <f ca="1"/>
        <v>17093</v>
      </c>
      <c r="O203" s="103">
        <f ca="1"/>
        <v>20900</v>
      </c>
    </row>
    <row r="204" spans="4:16" x14ac:dyDescent="0.25">
      <c r="E204" s="101" t="s">
        <v>88</v>
      </c>
      <c r="F204" s="102" cm="1">
        <f t="array" aca="1" ref="F204:O204" ca="1">'07b_ev_load_kwh'!b_EV_F_Annual_Off_peak</f>
        <v>1844</v>
      </c>
      <c r="G204" s="102">
        <f ca="1"/>
        <v>19900</v>
      </c>
      <c r="H204" s="102">
        <f ca="1"/>
        <v>17957</v>
      </c>
      <c r="I204" s="102">
        <f ca="1"/>
        <v>24586</v>
      </c>
      <c r="J204" s="102">
        <f ca="1"/>
        <v>39698</v>
      </c>
      <c r="K204" s="102">
        <f ca="1"/>
        <v>41967</v>
      </c>
      <c r="L204" s="102">
        <f ca="1"/>
        <v>30297</v>
      </c>
      <c r="M204" s="103">
        <f ca="1"/>
        <v>25088</v>
      </c>
      <c r="N204" s="103">
        <f ca="1"/>
        <v>16756</v>
      </c>
      <c r="O204" s="103">
        <f ca="1"/>
        <v>18896</v>
      </c>
    </row>
    <row r="205" spans="4:16" x14ac:dyDescent="0.25">
      <c r="E205" s="101" t="s">
        <v>89</v>
      </c>
      <c r="F205" s="102" cm="1">
        <f t="array" aca="1" ref="F205:O205" ca="1">'07b_ev_load_kwh'!b_EV_F_Annual_Daytime</f>
        <v>7143</v>
      </c>
      <c r="G205" s="102">
        <f ca="1"/>
        <v>92553</v>
      </c>
      <c r="H205" s="102">
        <f ca="1"/>
        <v>83441</v>
      </c>
      <c r="I205" s="102">
        <f ca="1"/>
        <v>123882</v>
      </c>
      <c r="J205" s="102">
        <f ca="1"/>
        <v>167881</v>
      </c>
      <c r="K205" s="102">
        <f ca="1"/>
        <v>160438</v>
      </c>
      <c r="L205" s="102">
        <f ca="1"/>
        <v>120464</v>
      </c>
      <c r="M205" s="103">
        <f ca="1"/>
        <v>54362</v>
      </c>
      <c r="N205" s="103">
        <f ca="1"/>
        <v>29625</v>
      </c>
      <c r="O205" s="103">
        <f ca="1"/>
        <v>38707</v>
      </c>
    </row>
    <row r="208" spans="4:16" s="52" customFormat="1" ht="24.75" customHeight="1" x14ac:dyDescent="0.25">
      <c r="D208" s="121" t="s">
        <v>95</v>
      </c>
      <c r="E208" s="120" t="s">
        <v>67</v>
      </c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4:15" x14ac:dyDescent="0.25">
      <c r="E209" s="101" t="s">
        <v>90</v>
      </c>
      <c r="F209" s="101" cm="1">
        <f t="array" aca="1" ref="F209:O209" ca="1">'07b_ev_load_kwh'!b_EV_MAUI_Load_Year</f>
        <v>2013</v>
      </c>
      <c r="G209" s="101">
        <f ca="1"/>
        <v>2014</v>
      </c>
      <c r="H209" s="101">
        <f ca="1"/>
        <v>2015</v>
      </c>
      <c r="I209" s="101">
        <f ca="1"/>
        <v>2016</v>
      </c>
      <c r="J209" s="101">
        <f ca="1"/>
        <v>2017</v>
      </c>
      <c r="K209" s="101">
        <f ca="1"/>
        <v>2018</v>
      </c>
      <c r="L209" s="101">
        <f ca="1"/>
        <v>2019</v>
      </c>
      <c r="M209" s="101">
        <f ca="1"/>
        <v>2020</v>
      </c>
      <c r="N209" s="101">
        <f ca="1"/>
        <v>2021</v>
      </c>
      <c r="O209" s="101">
        <f ca="1"/>
        <v>2022</v>
      </c>
    </row>
    <row r="210" spans="4:15" x14ac:dyDescent="0.25">
      <c r="E210" s="101" t="s">
        <v>93</v>
      </c>
      <c r="F210" s="102" cm="1">
        <f t="array" aca="1" ref="F210:O210" ca="1">'07b_ev_load_kwh'!b_EV_MAUI_Annual_Peak</f>
        <v>0</v>
      </c>
      <c r="G210" s="102">
        <f ca="1"/>
        <v>0</v>
      </c>
      <c r="H210" s="102">
        <f ca="1"/>
        <v>0</v>
      </c>
      <c r="I210" s="102">
        <f ca="1"/>
        <v>0</v>
      </c>
      <c r="J210" s="102">
        <f ca="1"/>
        <v>0</v>
      </c>
      <c r="K210" s="102">
        <f ca="1"/>
        <v>0</v>
      </c>
      <c r="L210" s="102">
        <f ca="1"/>
        <v>0</v>
      </c>
      <c r="M210" s="102">
        <f ca="1"/>
        <v>1027</v>
      </c>
      <c r="N210" s="102">
        <f ca="1"/>
        <v>30769</v>
      </c>
      <c r="O210" s="102">
        <f ca="1"/>
        <v>41211.19</v>
      </c>
    </row>
    <row r="211" spans="4:15" x14ac:dyDescent="0.25">
      <c r="E211" s="101" t="s">
        <v>88</v>
      </c>
      <c r="F211" s="102" cm="1">
        <f t="array" aca="1" ref="F211:O211" ca="1">'07b_ev_load_kwh'!b_EV_MAUI_Annual_Off_peak</f>
        <v>0</v>
      </c>
      <c r="G211" s="102">
        <f ca="1"/>
        <v>0</v>
      </c>
      <c r="H211" s="102">
        <f ca="1"/>
        <v>0</v>
      </c>
      <c r="I211" s="102">
        <f ca="1"/>
        <v>0</v>
      </c>
      <c r="J211" s="102">
        <f ca="1"/>
        <v>0</v>
      </c>
      <c r="K211" s="102">
        <f ca="1"/>
        <v>0</v>
      </c>
      <c r="L211" s="102">
        <f ca="1"/>
        <v>0</v>
      </c>
      <c r="M211" s="102">
        <f ca="1"/>
        <v>3234</v>
      </c>
      <c r="N211" s="102">
        <f ca="1"/>
        <v>26273</v>
      </c>
      <c r="O211" s="102">
        <f ca="1"/>
        <v>34557.56</v>
      </c>
    </row>
    <row r="212" spans="4:15" x14ac:dyDescent="0.25">
      <c r="E212" s="101" t="s">
        <v>89</v>
      </c>
      <c r="F212" s="102" cm="1">
        <f t="array" aca="1" ref="F212:O212" ca="1">'07b_ev_load_kwh'!b_EV_MAUI_Annual_Daytime</f>
        <v>0</v>
      </c>
      <c r="G212" s="102">
        <f ca="1"/>
        <v>0</v>
      </c>
      <c r="H212" s="102">
        <f ca="1"/>
        <v>0</v>
      </c>
      <c r="I212" s="102">
        <f ca="1"/>
        <v>0</v>
      </c>
      <c r="J212" s="102">
        <f ca="1"/>
        <v>0</v>
      </c>
      <c r="K212" s="102">
        <f ca="1"/>
        <v>0</v>
      </c>
      <c r="L212" s="102">
        <f ca="1"/>
        <v>0</v>
      </c>
      <c r="M212" s="102">
        <f ca="1"/>
        <v>8872</v>
      </c>
      <c r="N212" s="102">
        <f ca="1"/>
        <v>104267</v>
      </c>
      <c r="O212" s="102">
        <f ca="1"/>
        <v>120782.56</v>
      </c>
    </row>
    <row r="215" spans="4:15" ht="23.25" x14ac:dyDescent="0.25">
      <c r="D215" s="95" t="s">
        <v>13</v>
      </c>
      <c r="E215" s="99" t="s">
        <v>68</v>
      </c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</row>
    <row r="216" spans="4:15" x14ac:dyDescent="0.25">
      <c r="E216" s="101" t="s">
        <v>90</v>
      </c>
      <c r="F216" s="101" cm="1">
        <f t="array" aca="1" ref="F216:O216" ca="1">'07b_ev_load_kwh'!b_eBus_Load_Year</f>
        <v>2013</v>
      </c>
      <c r="G216" s="101">
        <f ca="1"/>
        <v>2014</v>
      </c>
      <c r="H216" s="101">
        <f ca="1"/>
        <v>2015</v>
      </c>
      <c r="I216" s="101">
        <f ca="1"/>
        <v>2016</v>
      </c>
      <c r="J216" s="101">
        <f ca="1"/>
        <v>2017</v>
      </c>
      <c r="K216" s="101">
        <f ca="1"/>
        <v>2018</v>
      </c>
      <c r="L216" s="101">
        <f ca="1"/>
        <v>2019</v>
      </c>
      <c r="M216" s="101">
        <f ca="1"/>
        <v>2020</v>
      </c>
      <c r="N216" s="101">
        <f ca="1"/>
        <v>2021</v>
      </c>
      <c r="O216" s="101">
        <f ca="1"/>
        <v>2022</v>
      </c>
    </row>
    <row r="217" spans="4:15" x14ac:dyDescent="0.25">
      <c r="E217" s="101" t="s">
        <v>94</v>
      </c>
      <c r="F217" s="102" cm="1">
        <f t="array" aca="1" ref="F217:O217" ca="1">'07b_ev_load_kwh'!b_eBus_Annual_Peak</f>
        <v>0</v>
      </c>
      <c r="G217" s="102">
        <f ca="1"/>
        <v>0</v>
      </c>
      <c r="H217" s="102">
        <f ca="1"/>
        <v>0</v>
      </c>
      <c r="I217" s="102">
        <f ca="1"/>
        <v>0</v>
      </c>
      <c r="J217" s="102">
        <f ca="1"/>
        <v>0</v>
      </c>
      <c r="K217" s="102">
        <f ca="1"/>
        <v>0</v>
      </c>
      <c r="L217" s="102">
        <f ca="1"/>
        <v>6250</v>
      </c>
      <c r="M217" s="102">
        <f ca="1"/>
        <v>14400</v>
      </c>
      <c r="N217" s="102">
        <f ca="1"/>
        <v>11317</v>
      </c>
      <c r="O217" s="102">
        <f ca="1"/>
        <v>22983</v>
      </c>
    </row>
    <row r="218" spans="4:15" x14ac:dyDescent="0.25">
      <c r="E218" s="101" t="s">
        <v>88</v>
      </c>
      <c r="F218" s="102" cm="1">
        <f t="array" aca="1" ref="F218:O218" ca="1">'07b_ev_load_kwh'!b_eBus_Annual_Off_peak</f>
        <v>0</v>
      </c>
      <c r="G218" s="102">
        <f ca="1"/>
        <v>0</v>
      </c>
      <c r="H218" s="102">
        <f ca="1"/>
        <v>0</v>
      </c>
      <c r="I218" s="102">
        <f ca="1"/>
        <v>0</v>
      </c>
      <c r="J218" s="102">
        <f ca="1"/>
        <v>0</v>
      </c>
      <c r="K218" s="102">
        <f ca="1"/>
        <v>0</v>
      </c>
      <c r="L218" s="102">
        <f ca="1"/>
        <v>62200</v>
      </c>
      <c r="M218" s="102">
        <f ca="1"/>
        <v>13350</v>
      </c>
      <c r="N218" s="102">
        <f ca="1"/>
        <v>26110</v>
      </c>
      <c r="O218" s="102">
        <f ca="1"/>
        <v>681231</v>
      </c>
    </row>
    <row r="219" spans="4:15" x14ac:dyDescent="0.25">
      <c r="E219" s="101" t="s">
        <v>89</v>
      </c>
      <c r="F219" s="102" cm="1">
        <f t="array" aca="1" ref="F219:O219" ca="1">'07b_ev_load_kwh'!b_eBus_Annual_Daytime</f>
        <v>0</v>
      </c>
      <c r="G219" s="102">
        <f ca="1"/>
        <v>0</v>
      </c>
      <c r="H219" s="102">
        <f ca="1"/>
        <v>0</v>
      </c>
      <c r="I219" s="102">
        <f ca="1"/>
        <v>0</v>
      </c>
      <c r="J219" s="102">
        <f ca="1"/>
        <v>0</v>
      </c>
      <c r="K219" s="102">
        <f ca="1"/>
        <v>0</v>
      </c>
      <c r="L219" s="102">
        <f ca="1"/>
        <v>5850</v>
      </c>
      <c r="M219" s="102">
        <f ca="1"/>
        <v>1800</v>
      </c>
      <c r="N219" s="102">
        <f ca="1"/>
        <v>9175</v>
      </c>
      <c r="O219" s="102">
        <f ca="1"/>
        <v>192064</v>
      </c>
    </row>
    <row r="222" spans="4:15" ht="22.5" x14ac:dyDescent="0.25">
      <c r="D222" s="95" t="s">
        <v>96</v>
      </c>
      <c r="E222" s="120" t="s">
        <v>70</v>
      </c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</row>
    <row r="223" spans="4:15" x14ac:dyDescent="0.25">
      <c r="E223" s="101" t="s">
        <v>90</v>
      </c>
      <c r="F223" s="101" cm="1">
        <f t="array" aca="1" ref="F223:O223" ca="1">'07b_ev_load_kwh'!b_Target_1_Year</f>
        <v>2013</v>
      </c>
      <c r="G223" s="101">
        <f ca="1"/>
        <v>2014</v>
      </c>
      <c r="H223" s="101">
        <f ca="1"/>
        <v>2015</v>
      </c>
      <c r="I223" s="101">
        <f ca="1"/>
        <v>2016</v>
      </c>
      <c r="J223" s="101">
        <f ca="1"/>
        <v>2017</v>
      </c>
      <c r="K223" s="101">
        <f ca="1"/>
        <v>2018</v>
      </c>
      <c r="L223" s="101">
        <f ca="1"/>
        <v>2019</v>
      </c>
      <c r="M223" s="101">
        <f ca="1"/>
        <v>2020</v>
      </c>
      <c r="N223" s="101">
        <f ca="1"/>
        <v>2021</v>
      </c>
      <c r="O223" s="101">
        <f ca="1"/>
        <v>2022</v>
      </c>
    </row>
    <row r="224" spans="4:15" x14ac:dyDescent="0.25">
      <c r="E224" s="101" t="s">
        <v>71</v>
      </c>
      <c r="F224" s="118" cm="1">
        <f t="array" aca="1" ref="F224:O224" ca="1">'07b_ev_load_kwh'!b_Target_1_Total</f>
        <v>11323</v>
      </c>
      <c r="G224" s="118">
        <f ca="1"/>
        <v>126659</v>
      </c>
      <c r="H224" s="118">
        <f ca="1"/>
        <v>-13895.7</v>
      </c>
      <c r="I224" s="118">
        <f ca="1"/>
        <v>125668.7</v>
      </c>
      <c r="J224" s="118">
        <f ca="1"/>
        <v>227972</v>
      </c>
      <c r="K224" s="118">
        <f ca="1"/>
        <v>25859</v>
      </c>
      <c r="L224" s="118">
        <f ca="1"/>
        <v>102841</v>
      </c>
      <c r="M224" s="118">
        <f ca="1"/>
        <v>-53403</v>
      </c>
      <c r="N224" s="118">
        <f ca="1"/>
        <v>503564</v>
      </c>
      <c r="O224" s="118">
        <f ca="1"/>
        <v>847379.76</v>
      </c>
    </row>
    <row r="225" spans="4:16" x14ac:dyDescent="0.25">
      <c r="E225" s="101" t="s">
        <v>72</v>
      </c>
      <c r="F225" s="119" cm="1">
        <f t="array" aca="1" ref="F225:O225" ca="1">'07b_ev_load_kwh'!b_Target_1_EV_F</f>
        <v>11323</v>
      </c>
      <c r="G225" s="119">
        <f ca="1"/>
        <v>126657</v>
      </c>
      <c r="H225" s="119">
        <f ca="1"/>
        <v>-15589</v>
      </c>
      <c r="I225" s="119">
        <f ca="1"/>
        <v>57765</v>
      </c>
      <c r="J225" s="119">
        <f ca="1"/>
        <v>70953</v>
      </c>
      <c r="K225" s="119">
        <f ca="1"/>
        <v>-6260</v>
      </c>
      <c r="L225" s="119">
        <f ca="1"/>
        <v>-64174</v>
      </c>
      <c r="M225" s="119">
        <f ca="1"/>
        <v>-82350</v>
      </c>
      <c r="N225" s="119">
        <f ca="1"/>
        <v>-34851</v>
      </c>
      <c r="O225" s="119">
        <f ca="1"/>
        <v>15029</v>
      </c>
    </row>
    <row r="226" spans="4:16" x14ac:dyDescent="0.25">
      <c r="E226" s="101" t="s">
        <v>73</v>
      </c>
      <c r="F226" s="118" cm="1">
        <f t="array" aca="1" ref="F226:O226" ca="1">'07b_ev_load_kwh'!b_Target_1_EV_U</f>
        <v>0</v>
      </c>
      <c r="G226" s="118">
        <f ca="1"/>
        <v>2</v>
      </c>
      <c r="H226" s="118">
        <f ca="1"/>
        <v>1693.3</v>
      </c>
      <c r="I226" s="118">
        <f ca="1"/>
        <v>67903.7</v>
      </c>
      <c r="J226" s="118">
        <f ca="1"/>
        <v>157019</v>
      </c>
      <c r="K226" s="118">
        <f ca="1"/>
        <v>32119</v>
      </c>
      <c r="L226" s="118">
        <f ca="1"/>
        <v>92715</v>
      </c>
      <c r="M226" s="118">
        <f ca="1"/>
        <v>60564</v>
      </c>
      <c r="N226" s="118">
        <f ca="1"/>
        <v>373187</v>
      </c>
      <c r="O226" s="118">
        <f ca="1"/>
        <v>-52567.550000000047</v>
      </c>
    </row>
    <row r="227" spans="4:16" x14ac:dyDescent="0.25">
      <c r="E227" s="101" t="s">
        <v>74</v>
      </c>
      <c r="F227" s="118" cm="1">
        <f t="array" aca="1" ref="F227:O227" ca="1">'07b_ev_load_kwh'!b_Target_1_eBus</f>
        <v>0</v>
      </c>
      <c r="G227" s="118">
        <f ca="1"/>
        <v>0</v>
      </c>
      <c r="H227" s="118">
        <f ca="1"/>
        <v>0</v>
      </c>
      <c r="I227" s="118">
        <f ca="1"/>
        <v>0</v>
      </c>
      <c r="J227" s="118">
        <f ca="1"/>
        <v>0</v>
      </c>
      <c r="K227" s="118">
        <f ca="1"/>
        <v>0</v>
      </c>
      <c r="L227" s="118">
        <f ca="1"/>
        <v>74300</v>
      </c>
      <c r="M227" s="118">
        <f ca="1"/>
        <v>-44750</v>
      </c>
      <c r="N227" s="118">
        <f ca="1"/>
        <v>17052</v>
      </c>
      <c r="O227" s="118">
        <f ca="1"/>
        <v>849676</v>
      </c>
    </row>
    <row r="228" spans="4:16" x14ac:dyDescent="0.25">
      <c r="E228" s="101" t="s">
        <v>75</v>
      </c>
      <c r="F228" s="118" cm="1">
        <f t="array" aca="1" ref="F228:O228" ca="1">'07b_ev_load_kwh'!b_Target_1_EV_MAUI</f>
        <v>0</v>
      </c>
      <c r="G228" s="118">
        <f ca="1"/>
        <v>0</v>
      </c>
      <c r="H228" s="118">
        <f ca="1"/>
        <v>0</v>
      </c>
      <c r="I228" s="118">
        <f ca="1"/>
        <v>0</v>
      </c>
      <c r="J228" s="118">
        <f ca="1"/>
        <v>0</v>
      </c>
      <c r="K228" s="118">
        <f ca="1"/>
        <v>0</v>
      </c>
      <c r="L228" s="118">
        <f ca="1"/>
        <v>0</v>
      </c>
      <c r="M228" s="118">
        <f ca="1"/>
        <v>13133</v>
      </c>
      <c r="N228" s="118">
        <f ca="1"/>
        <v>148176</v>
      </c>
      <c r="O228" s="118">
        <f ca="1"/>
        <v>35242.31</v>
      </c>
    </row>
    <row r="229" spans="4:16" s="75" customFormat="1" x14ac:dyDescent="0.25">
      <c r="E229" s="124" t="s">
        <v>99</v>
      </c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2" spans="4:16" ht="33.75" x14ac:dyDescent="0.25">
      <c r="D232" s="95" t="s">
        <v>97</v>
      </c>
      <c r="E232" s="120" t="s">
        <v>69</v>
      </c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</row>
    <row r="233" spans="4:16" x14ac:dyDescent="0.25">
      <c r="E233" s="101" t="s">
        <v>90</v>
      </c>
      <c r="F233" s="106" cm="1">
        <f t="array" aca="1" ref="F233:P233" ca="1">'07b_ev_load_kwh'!b_Target_2_Table_Year</f>
        <v>2012</v>
      </c>
      <c r="G233" s="101">
        <f ca="1"/>
        <v>2013</v>
      </c>
      <c r="H233" s="101">
        <f ca="1"/>
        <v>2014</v>
      </c>
      <c r="I233" s="101">
        <f ca="1"/>
        <v>2015</v>
      </c>
      <c r="J233" s="101">
        <f ca="1"/>
        <v>2016</v>
      </c>
      <c r="K233" s="101">
        <f ca="1"/>
        <v>2017</v>
      </c>
      <c r="L233" s="101">
        <f ca="1"/>
        <v>2018</v>
      </c>
      <c r="M233" s="101">
        <f ca="1"/>
        <v>2019</v>
      </c>
      <c r="N233" s="101">
        <f ca="1"/>
        <v>2020</v>
      </c>
      <c r="O233" s="101">
        <f ca="1"/>
        <v>2021</v>
      </c>
      <c r="P233" s="101">
        <f ca="1"/>
        <v>2022</v>
      </c>
    </row>
    <row r="234" spans="4:16" x14ac:dyDescent="0.25">
      <c r="E234" s="101" t="s">
        <v>71</v>
      </c>
      <c r="F234" s="107" cm="1">
        <f t="array" aca="1" ref="F234:P234" ca="1">'07b_ev_load_kwh'!b_Target_2_Table_Total</f>
        <v>0</v>
      </c>
      <c r="G234" s="108">
        <f ca="1"/>
        <v>0.20630574935971033</v>
      </c>
      <c r="H234" s="108">
        <f ca="1"/>
        <v>0.18500239161629778</v>
      </c>
      <c r="I234" s="108">
        <f ca="1"/>
        <v>0.1699115857270303</v>
      </c>
      <c r="J234" s="108">
        <f ca="1"/>
        <v>0.177810254048968</v>
      </c>
      <c r="K234" s="108">
        <f ca="1"/>
        <v>0.22239898519447299</v>
      </c>
      <c r="L234" s="108">
        <f ca="1"/>
        <v>0.21504569229486126</v>
      </c>
      <c r="M234" s="109">
        <f ca="1"/>
        <v>0.20458192000026384</v>
      </c>
      <c r="N234" s="108">
        <f ca="1"/>
        <v>0.23570224800370326</v>
      </c>
      <c r="O234" s="108">
        <f ca="1"/>
        <v>0.24270671255020879</v>
      </c>
      <c r="P234" s="108">
        <f ca="1"/>
        <v>0.1414645224875026</v>
      </c>
    </row>
    <row r="235" spans="4:16" x14ac:dyDescent="0.25">
      <c r="E235" s="101" t="s">
        <v>72</v>
      </c>
      <c r="F235" s="110" cm="1">
        <f t="array" aca="1" ref="F235:P235" ca="1">'07b_ev_load_kwh'!b_Target_2_Table_EV_F</f>
        <v>0</v>
      </c>
      <c r="G235" s="111">
        <f ca="1"/>
        <v>0.20630574935971033</v>
      </c>
      <c r="H235" s="111">
        <f ca="1"/>
        <v>0.18500507319901435</v>
      </c>
      <c r="I235" s="111">
        <f ca="1"/>
        <v>0.1715240499709946</v>
      </c>
      <c r="J235" s="111">
        <f ca="1"/>
        <v>0.17589200470703167</v>
      </c>
      <c r="K235" s="111">
        <f ca="1"/>
        <v>0.17335101489791285</v>
      </c>
      <c r="L235" s="111">
        <f ca="1"/>
        <v>0.17334765508537917</v>
      </c>
      <c r="M235" s="112">
        <f ca="1"/>
        <v>0.1655680088556801</v>
      </c>
      <c r="N235" s="112">
        <f ca="1"/>
        <v>0.19196542079837275</v>
      </c>
      <c r="O235" s="112">
        <f ca="1"/>
        <v>0.26929136339288529</v>
      </c>
      <c r="P235" s="113">
        <f ca="1"/>
        <v>0.2662318637504299</v>
      </c>
    </row>
    <row r="236" spans="4:16" x14ac:dyDescent="0.25">
      <c r="E236" s="101" t="s">
        <v>73</v>
      </c>
      <c r="F236" s="114" cm="1">
        <f t="array" aca="1" ref="F236:P236" ca="1">'07b_ev_load_kwh'!b_Target_2_Table_EV_U</f>
        <v>0</v>
      </c>
      <c r="G236" s="115">
        <f ca="1"/>
        <v>0</v>
      </c>
      <c r="H236" s="115">
        <f ca="1"/>
        <v>0</v>
      </c>
      <c r="I236" s="115">
        <f ca="1"/>
        <v>5.3500855305845578E-2</v>
      </c>
      <c r="J236" s="115">
        <f ca="1"/>
        <v>0.18277561459216368</v>
      </c>
      <c r="K236" s="115">
        <f ca="1"/>
        <v>0.27674765464349699</v>
      </c>
      <c r="L236" s="115">
        <f ca="1"/>
        <v>0.25450554037497536</v>
      </c>
      <c r="M236" s="116">
        <f ca="1"/>
        <v>0.25010527753434325</v>
      </c>
      <c r="N236" s="116">
        <f ca="1"/>
        <v>0.23311473340841132</v>
      </c>
      <c r="O236" s="112">
        <f ca="1"/>
        <v>0.25122420571495524</v>
      </c>
      <c r="P236" s="113">
        <f ca="1"/>
        <v>0.25148892262857331</v>
      </c>
    </row>
    <row r="237" spans="4:16" x14ac:dyDescent="0.25">
      <c r="E237" s="101" t="s">
        <v>74</v>
      </c>
      <c r="F237" s="114" cm="1">
        <f t="array" aca="1" ref="F237:P237" ca="1">'07b_ev_load_kwh'!b_Target_2_Table_eBus</f>
        <v>0</v>
      </c>
      <c r="G237" s="115">
        <f ca="1"/>
        <v>0</v>
      </c>
      <c r="H237" s="115">
        <f ca="1"/>
        <v>0</v>
      </c>
      <c r="I237" s="115">
        <f ca="1"/>
        <v>0</v>
      </c>
      <c r="J237" s="115">
        <f ca="1"/>
        <v>0</v>
      </c>
      <c r="K237" s="115">
        <f ca="1"/>
        <v>0</v>
      </c>
      <c r="L237" s="115">
        <f ca="1"/>
        <v>0</v>
      </c>
      <c r="M237" s="116">
        <f ca="1"/>
        <v>8.4118438761776576E-2</v>
      </c>
      <c r="N237" s="116">
        <f ca="1"/>
        <v>0.48730964467005078</v>
      </c>
      <c r="O237" s="116">
        <f ca="1"/>
        <v>0.24284365477876485</v>
      </c>
      <c r="P237" s="117">
        <f ca="1"/>
        <v>2.5642713533077906E-2</v>
      </c>
    </row>
    <row r="238" spans="4:16" x14ac:dyDescent="0.25">
      <c r="E238" s="101" t="s">
        <v>75</v>
      </c>
      <c r="F238" s="114" cm="1">
        <f t="array" aca="1" ref="F238:P238" ca="1">'07b_ev_load_kwh'!b_Target_2_Table_EV_MAUI</f>
        <v>0</v>
      </c>
      <c r="G238" s="115">
        <f ca="1"/>
        <v>0</v>
      </c>
      <c r="H238" s="115">
        <f ca="1"/>
        <v>0</v>
      </c>
      <c r="I238" s="115">
        <f ca="1"/>
        <v>0</v>
      </c>
      <c r="J238" s="115">
        <f ca="1"/>
        <v>0</v>
      </c>
      <c r="K238" s="115">
        <f ca="1"/>
        <v>0</v>
      </c>
      <c r="L238" s="115">
        <f ca="1"/>
        <v>0</v>
      </c>
      <c r="M238" s="116">
        <f ca="1"/>
        <v>0</v>
      </c>
      <c r="N238" s="116">
        <f ca="1"/>
        <v>7.8199954313561262E-2</v>
      </c>
      <c r="O238" s="116">
        <f ca="1"/>
        <v>0.19074571164659132</v>
      </c>
      <c r="P238" s="117">
        <f ca="1"/>
        <v>0.20967140844800272</v>
      </c>
    </row>
    <row r="239" spans="4:16" x14ac:dyDescent="0.25">
      <c r="E239" s="126" t="s">
        <v>61</v>
      </c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8"/>
    </row>
  </sheetData>
  <mergeCells count="37">
    <mergeCell ref="C8:C10"/>
    <mergeCell ref="C11:C13"/>
    <mergeCell ref="C14:C16"/>
    <mergeCell ref="C17:C19"/>
    <mergeCell ref="C20:C22"/>
    <mergeCell ref="B8:B22"/>
    <mergeCell ref="B23:B37"/>
    <mergeCell ref="C23:C25"/>
    <mergeCell ref="D109:D110"/>
    <mergeCell ref="C60:C64"/>
    <mergeCell ref="C68:C72"/>
    <mergeCell ref="C76:C80"/>
    <mergeCell ref="C84:C88"/>
    <mergeCell ref="C92:C96"/>
    <mergeCell ref="B89:D89"/>
    <mergeCell ref="B97:D97"/>
    <mergeCell ref="B108:D108"/>
    <mergeCell ref="C26:C28"/>
    <mergeCell ref="C29:C31"/>
    <mergeCell ref="C32:C34"/>
    <mergeCell ref="C35:C37"/>
    <mergeCell ref="E229:O229"/>
    <mergeCell ref="E239:P239"/>
    <mergeCell ref="B186:D186"/>
    <mergeCell ref="A7:E7"/>
    <mergeCell ref="B57:D57"/>
    <mergeCell ref="B65:D65"/>
    <mergeCell ref="B73:D73"/>
    <mergeCell ref="B81:D81"/>
    <mergeCell ref="B38:B40"/>
    <mergeCell ref="C38:C40"/>
    <mergeCell ref="B41:B55"/>
    <mergeCell ref="C41:C43"/>
    <mergeCell ref="C44:C46"/>
    <mergeCell ref="C47:C49"/>
    <mergeCell ref="C50:C52"/>
    <mergeCell ref="C53:C55"/>
  </mergeCells>
  <conditionalFormatting sqref="F99:AQ99">
    <cfRule type="cellIs" dxfId="9" priority="15" operator="lessThan">
      <formula>0</formula>
    </cfRule>
    <cfRule type="cellIs" dxfId="8" priority="16" operator="greaterThan">
      <formula>0</formula>
    </cfRule>
  </conditionalFormatting>
  <conditionalFormatting sqref="M110">
    <cfRule type="expression" dxfId="7" priority="9">
      <formula>M110&gt;0</formula>
    </cfRule>
  </conditionalFormatting>
  <conditionalFormatting sqref="N110:AO110">
    <cfRule type="expression" dxfId="6" priority="10">
      <formula>N110&gt;M110</formula>
    </cfRule>
    <cfRule type="expression" dxfId="5" priority="11">
      <formula>N110&lt;M110</formula>
    </cfRule>
  </conditionalFormatting>
  <conditionalFormatting sqref="F224:O224">
    <cfRule type="cellIs" dxfId="4" priority="7" operator="lessThan">
      <formula>0</formula>
    </cfRule>
    <cfRule type="cellIs" dxfId="3" priority="8" operator="greaterThan">
      <formula>0</formula>
    </cfRule>
  </conditionalFormatting>
  <conditionalFormatting sqref="G234:P234">
    <cfRule type="expression" dxfId="2" priority="5">
      <formula>G234&gt;F234</formula>
    </cfRule>
    <cfRule type="expression" dxfId="1" priority="6">
      <formula>G234&lt;F234</formula>
    </cfRule>
  </conditionalFormatting>
  <conditionalFormatting sqref="G234">
    <cfRule type="expression" dxfId="0" priority="1">
      <formula>$G$233=2013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E7AAB-3E7C-44DA-BF71-C0B38C71BC77}">
  <sheetPr codeName="Sheet2"/>
  <dimension ref="A1:I27"/>
  <sheetViews>
    <sheetView zoomScaleNormal="100" workbookViewId="0">
      <selection sqref="A1:I1"/>
    </sheetView>
  </sheetViews>
  <sheetFormatPr defaultRowHeight="15" x14ac:dyDescent="0.25"/>
  <sheetData>
    <row r="1" spans="1:9" ht="28.15" customHeight="1" x14ac:dyDescent="0.25">
      <c r="A1" s="137" t="s">
        <v>2</v>
      </c>
      <c r="B1" s="138"/>
      <c r="C1" s="138"/>
      <c r="D1" s="138"/>
      <c r="E1" s="138"/>
      <c r="F1" s="138"/>
      <c r="G1" s="138"/>
      <c r="H1" s="138"/>
      <c r="I1" s="138"/>
    </row>
    <row r="2" spans="1:9" s="10" customFormat="1" ht="28.15" customHeight="1" x14ac:dyDescent="0.25">
      <c r="A2" s="138" t="s">
        <v>23</v>
      </c>
      <c r="B2" s="138"/>
      <c r="C2" s="138"/>
      <c r="D2" s="138"/>
      <c r="E2" s="138"/>
      <c r="F2" s="138"/>
      <c r="G2" s="138"/>
      <c r="H2" s="138"/>
      <c r="I2" s="138"/>
    </row>
    <row r="3" spans="1:9" x14ac:dyDescent="0.25">
      <c r="B3">
        <v>2020</v>
      </c>
    </row>
    <row r="4" spans="1:9" x14ac:dyDescent="0.25">
      <c r="A4">
        <v>1</v>
      </c>
    </row>
    <row r="5" spans="1:9" x14ac:dyDescent="0.25">
      <c r="A5">
        <f>A4+1</f>
        <v>2</v>
      </c>
    </row>
    <row r="6" spans="1:9" x14ac:dyDescent="0.25">
      <c r="A6">
        <f t="shared" ref="A6:A27" si="0">A5+1</f>
        <v>3</v>
      </c>
    </row>
    <row r="7" spans="1:9" x14ac:dyDescent="0.25">
      <c r="A7">
        <f t="shared" si="0"/>
        <v>4</v>
      </c>
    </row>
    <row r="8" spans="1:9" x14ac:dyDescent="0.25">
      <c r="A8">
        <f t="shared" si="0"/>
        <v>5</v>
      </c>
    </row>
    <row r="9" spans="1:9" x14ac:dyDescent="0.25">
      <c r="A9">
        <f t="shared" si="0"/>
        <v>6</v>
      </c>
    </row>
    <row r="10" spans="1:9" x14ac:dyDescent="0.25">
      <c r="A10">
        <f t="shared" si="0"/>
        <v>7</v>
      </c>
    </row>
    <row r="11" spans="1:9" x14ac:dyDescent="0.25">
      <c r="A11">
        <f t="shared" si="0"/>
        <v>8</v>
      </c>
    </row>
    <row r="12" spans="1:9" x14ac:dyDescent="0.25">
      <c r="A12">
        <f t="shared" si="0"/>
        <v>9</v>
      </c>
    </row>
    <row r="13" spans="1:9" x14ac:dyDescent="0.25">
      <c r="A13">
        <f t="shared" si="0"/>
        <v>10</v>
      </c>
    </row>
    <row r="14" spans="1:9" x14ac:dyDescent="0.25">
      <c r="A14">
        <f t="shared" si="0"/>
        <v>11</v>
      </c>
    </row>
    <row r="15" spans="1:9" x14ac:dyDescent="0.25">
      <c r="A15">
        <f t="shared" si="0"/>
        <v>12</v>
      </c>
    </row>
    <row r="16" spans="1:9" x14ac:dyDescent="0.25">
      <c r="A16">
        <f t="shared" si="0"/>
        <v>13</v>
      </c>
    </row>
    <row r="17" spans="1:1" x14ac:dyDescent="0.25">
      <c r="A17">
        <f t="shared" si="0"/>
        <v>14</v>
      </c>
    </row>
    <row r="18" spans="1:1" x14ac:dyDescent="0.25">
      <c r="A18">
        <f t="shared" si="0"/>
        <v>15</v>
      </c>
    </row>
    <row r="19" spans="1:1" x14ac:dyDescent="0.25">
      <c r="A19">
        <f t="shared" si="0"/>
        <v>16</v>
      </c>
    </row>
    <row r="20" spans="1:1" x14ac:dyDescent="0.25">
      <c r="A20">
        <f t="shared" si="0"/>
        <v>17</v>
      </c>
    </row>
    <row r="21" spans="1:1" x14ac:dyDescent="0.25">
      <c r="A21">
        <f t="shared" si="0"/>
        <v>18</v>
      </c>
    </row>
    <row r="22" spans="1:1" x14ac:dyDescent="0.25">
      <c r="A22">
        <f t="shared" si="0"/>
        <v>19</v>
      </c>
    </row>
    <row r="23" spans="1:1" x14ac:dyDescent="0.25">
      <c r="A23">
        <f t="shared" si="0"/>
        <v>20</v>
      </c>
    </row>
    <row r="24" spans="1:1" x14ac:dyDescent="0.25">
      <c r="A24">
        <f t="shared" si="0"/>
        <v>21</v>
      </c>
    </row>
    <row r="25" spans="1:1" x14ac:dyDescent="0.25">
      <c r="A25">
        <f t="shared" si="0"/>
        <v>22</v>
      </c>
    </row>
    <row r="26" spans="1:1" x14ac:dyDescent="0.25">
      <c r="A26">
        <f t="shared" si="0"/>
        <v>23</v>
      </c>
    </row>
    <row r="27" spans="1:1" x14ac:dyDescent="0.25">
      <c r="A27">
        <f t="shared" si="0"/>
        <v>24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A61E-D4D7-423A-B10D-2B850F20286F}">
  <sheetPr codeName="Sheet3"/>
  <dimension ref="A1:U50"/>
  <sheetViews>
    <sheetView topLeftCell="A2" zoomScaleNormal="100" workbookViewId="0">
      <pane xSplit="3" ySplit="10" topLeftCell="D12" activePane="bottomRight" state="frozen"/>
      <selection activeCell="A2" sqref="A2"/>
      <selection pane="topRight" activeCell="D2" sqref="D2"/>
      <selection pane="bottomLeft" activeCell="A12" sqref="A12"/>
      <selection pane="bottomRight"/>
    </sheetView>
  </sheetViews>
  <sheetFormatPr defaultRowHeight="15" x14ac:dyDescent="0.25"/>
  <cols>
    <col min="3" max="3" width="9" bestFit="1" customWidth="1"/>
    <col min="6" max="6" width="9.140625" customWidth="1"/>
    <col min="9" max="9" width="10.28515625" bestFit="1" customWidth="1"/>
    <col min="10" max="12" width="11.140625" bestFit="1" customWidth="1"/>
    <col min="13" max="16" width="12" bestFit="1" customWidth="1"/>
    <col min="17" max="17" width="13.5703125" bestFit="1" customWidth="1"/>
    <col min="18" max="18" width="16.140625" customWidth="1"/>
    <col min="19" max="19" width="11.42578125" bestFit="1" customWidth="1"/>
    <col min="20" max="22" width="10.7109375" customWidth="1"/>
  </cols>
  <sheetData>
    <row r="1" spans="1:20" ht="15.75" x14ac:dyDescent="0.25">
      <c r="A1" s="5" t="s">
        <v>3</v>
      </c>
    </row>
    <row r="2" spans="1:20" ht="15.75" x14ac:dyDescent="0.25">
      <c r="A2" s="12" t="s">
        <v>25</v>
      </c>
    </row>
    <row r="3" spans="1:20" s="10" customFormat="1" ht="15.75" x14ac:dyDescent="0.25">
      <c r="A3" s="12" t="s">
        <v>24</v>
      </c>
    </row>
    <row r="4" spans="1:20" s="10" customFormat="1" ht="15.75" x14ac:dyDescent="0.25">
      <c r="A4" s="12"/>
      <c r="B4" s="20" t="s">
        <v>30</v>
      </c>
    </row>
    <row r="5" spans="1:20" ht="15.75" x14ac:dyDescent="0.25">
      <c r="A5" s="12" t="s">
        <v>4</v>
      </c>
    </row>
    <row r="6" spans="1:20" ht="15.75" x14ac:dyDescent="0.25">
      <c r="A6" s="12" t="s">
        <v>19</v>
      </c>
      <c r="E6" s="45" t="s">
        <v>41</v>
      </c>
    </row>
    <row r="8" spans="1:20" ht="15.75" x14ac:dyDescent="0.25">
      <c r="A8" s="13" t="s">
        <v>0</v>
      </c>
      <c r="B8" s="11" t="s">
        <v>20</v>
      </c>
    </row>
    <row r="9" spans="1:20" x14ac:dyDescent="0.25">
      <c r="B9" s="20" t="s">
        <v>22</v>
      </c>
    </row>
    <row r="10" spans="1:20" x14ac:dyDescent="0.25">
      <c r="B10" t="s">
        <v>36</v>
      </c>
      <c r="R10" t="s">
        <v>78</v>
      </c>
      <c r="T10" t="s">
        <v>79</v>
      </c>
    </row>
    <row r="11" spans="1:20" s="3" customFormat="1" x14ac:dyDescent="0.25">
      <c r="D11" s="47">
        <v>2006</v>
      </c>
      <c r="E11" s="47">
        <v>2007</v>
      </c>
      <c r="F11" s="47">
        <v>2008</v>
      </c>
      <c r="G11" s="47">
        <v>2009</v>
      </c>
      <c r="H11" s="47">
        <v>2010</v>
      </c>
      <c r="I11" s="47">
        <v>2011</v>
      </c>
      <c r="J11" s="47">
        <v>2012</v>
      </c>
      <c r="K11" s="47">
        <v>2013</v>
      </c>
      <c r="L11" s="47">
        <v>2014</v>
      </c>
      <c r="M11" s="47">
        <v>2015</v>
      </c>
      <c r="N11" s="47">
        <v>2016</v>
      </c>
      <c r="O11" s="47">
        <v>2017</v>
      </c>
      <c r="P11" s="47">
        <v>2018</v>
      </c>
      <c r="Q11" s="47">
        <v>2019</v>
      </c>
      <c r="R11" s="71" t="s">
        <v>80</v>
      </c>
      <c r="S11" s="72" t="s">
        <v>81</v>
      </c>
      <c r="T11" s="47">
        <v>2022</v>
      </c>
    </row>
    <row r="12" spans="1:20" s="26" customFormat="1" x14ac:dyDescent="0.25">
      <c r="A12" s="26" t="s">
        <v>27</v>
      </c>
      <c r="D12" s="26">
        <v>8659</v>
      </c>
      <c r="E12" s="26">
        <v>8929</v>
      </c>
      <c r="F12" s="26">
        <v>8847</v>
      </c>
      <c r="G12" s="26">
        <v>8754</v>
      </c>
      <c r="H12" s="26">
        <v>8735</v>
      </c>
      <c r="I12" s="26">
        <v>8726</v>
      </c>
      <c r="J12" s="26">
        <v>8726</v>
      </c>
      <c r="K12" s="26">
        <v>8706</v>
      </c>
      <c r="L12" s="26">
        <v>7583</v>
      </c>
      <c r="M12" s="26">
        <v>8723</v>
      </c>
      <c r="N12" s="26">
        <v>8741</v>
      </c>
      <c r="O12" s="26">
        <v>8712</v>
      </c>
      <c r="P12" s="26">
        <v>8704</v>
      </c>
      <c r="Q12" s="26">
        <v>8706</v>
      </c>
      <c r="R12" s="26">
        <v>8709</v>
      </c>
      <c r="S12" s="26">
        <v>8706</v>
      </c>
      <c r="T12" s="32">
        <f>S12</f>
        <v>8706</v>
      </c>
    </row>
    <row r="13" spans="1:20" s="26" customFormat="1" x14ac:dyDescent="0.25">
      <c r="A13" s="26" t="s">
        <v>29</v>
      </c>
      <c r="D13" s="26">
        <v>10604</v>
      </c>
      <c r="E13" s="26">
        <v>9024</v>
      </c>
      <c r="F13" s="26">
        <v>8989</v>
      </c>
      <c r="G13" s="26">
        <v>8950</v>
      </c>
      <c r="H13" s="26">
        <v>8913</v>
      </c>
      <c r="I13" s="26">
        <v>8895</v>
      </c>
      <c r="J13" s="26">
        <v>8921</v>
      </c>
      <c r="K13" s="26">
        <v>8864</v>
      </c>
      <c r="L13" s="26">
        <v>8130</v>
      </c>
      <c r="M13" s="26">
        <v>8881</v>
      </c>
      <c r="N13" s="26">
        <v>8926</v>
      </c>
      <c r="O13" s="26">
        <v>8926</v>
      </c>
      <c r="P13" s="26">
        <v>8921</v>
      </c>
      <c r="Q13" s="26">
        <v>8912</v>
      </c>
      <c r="R13" s="26">
        <v>8918</v>
      </c>
      <c r="S13" s="26">
        <v>8917</v>
      </c>
      <c r="T13" s="32">
        <f>S13</f>
        <v>8917</v>
      </c>
    </row>
    <row r="14" spans="1:20" s="26" customFormat="1" x14ac:dyDescent="0.25">
      <c r="A14" s="26" t="s">
        <v>28</v>
      </c>
      <c r="D14" s="26">
        <v>9830</v>
      </c>
      <c r="E14" s="26">
        <v>9528</v>
      </c>
      <c r="F14" s="26">
        <v>9371</v>
      </c>
      <c r="G14" s="26">
        <v>9717</v>
      </c>
      <c r="H14" s="26">
        <v>9729</v>
      </c>
      <c r="I14" s="26">
        <v>9722</v>
      </c>
      <c r="J14" s="26">
        <v>9698</v>
      </c>
      <c r="K14" s="26">
        <v>9708</v>
      </c>
      <c r="L14" s="26">
        <v>8432</v>
      </c>
      <c r="M14" s="26">
        <v>9715</v>
      </c>
      <c r="N14" s="26">
        <v>9710</v>
      </c>
      <c r="O14" s="26">
        <v>9702</v>
      </c>
      <c r="P14" s="26">
        <v>9703</v>
      </c>
      <c r="Q14" s="26">
        <v>9704</v>
      </c>
      <c r="R14" s="26">
        <v>9705</v>
      </c>
      <c r="S14" s="26">
        <v>9704</v>
      </c>
      <c r="T14" s="32">
        <f>S14</f>
        <v>9704</v>
      </c>
    </row>
    <row r="15" spans="1:20" s="26" customFormat="1" x14ac:dyDescent="0.25">
      <c r="A15" s="26" t="s">
        <v>26</v>
      </c>
      <c r="C15" s="27">
        <v>0.31</v>
      </c>
    </row>
    <row r="16" spans="1:20" s="4" customFormat="1" x14ac:dyDescent="0.25"/>
    <row r="17" spans="1:21" s="15" customFormat="1" x14ac:dyDescent="0.25">
      <c r="B17" s="16"/>
      <c r="C17" s="16"/>
      <c r="D17" s="46">
        <v>2006</v>
      </c>
      <c r="E17" s="46">
        <v>2007</v>
      </c>
      <c r="F17" s="46">
        <v>2008</v>
      </c>
      <c r="G17" s="46">
        <v>2009</v>
      </c>
      <c r="H17" s="46">
        <v>2010</v>
      </c>
      <c r="I17" s="46">
        <v>2011</v>
      </c>
      <c r="J17" s="46">
        <v>2012</v>
      </c>
      <c r="K17" s="46">
        <v>2013</v>
      </c>
      <c r="L17" s="46">
        <v>2014</v>
      </c>
      <c r="M17" s="46">
        <v>2015</v>
      </c>
      <c r="N17" s="46">
        <v>2016</v>
      </c>
      <c r="O17" s="46">
        <v>2017</v>
      </c>
      <c r="P17" s="46">
        <v>2018</v>
      </c>
      <c r="Q17" s="46">
        <v>2019</v>
      </c>
      <c r="R17" s="46">
        <v>2020</v>
      </c>
      <c r="S17" s="46">
        <v>2021</v>
      </c>
      <c r="T17" s="46">
        <v>2022</v>
      </c>
      <c r="U17" s="18"/>
    </row>
    <row r="18" spans="1:21" s="10" customFormat="1" x14ac:dyDescent="0.25">
      <c r="A18" s="10" t="s">
        <v>55</v>
      </c>
      <c r="C18" s="29"/>
      <c r="D18" s="7">
        <f>'07e_ev_count'!D19*D12*$C$15</f>
        <v>198637.46</v>
      </c>
      <c r="E18" s="31">
        <f>'07e_ev_count'!E19*E12*$C$15</f>
        <v>282334.98</v>
      </c>
      <c r="F18" s="31">
        <f>'07e_ev_count'!F19*F12*$C$15</f>
        <v>298940.13</v>
      </c>
      <c r="G18" s="31">
        <f>'07e_ev_count'!G19*G12*$C$15</f>
        <v>287656.44</v>
      </c>
      <c r="H18" s="31">
        <f>'07e_ev_count'!H19*H12*$C$15</f>
        <v>265369.3</v>
      </c>
      <c r="I18" s="31">
        <f>'07e_ev_count'!I19*I12*$C$15</f>
        <v>1109074.6000000001</v>
      </c>
      <c r="J18" s="31">
        <f>'07e_ev_count'!J19*J12*$C$15</f>
        <v>2353402.2000000002</v>
      </c>
      <c r="K18" s="31">
        <f>'07e_ev_count'!K19*K12*$C$15</f>
        <v>4323573.72</v>
      </c>
      <c r="L18" s="31">
        <f>'07e_ev_count'!L19*L12*$C$15</f>
        <v>5448992.1399999997</v>
      </c>
      <c r="M18" s="31">
        <f>'07e_ev_count'!M19*M12*$C$15</f>
        <v>8147543.6899999995</v>
      </c>
      <c r="N18" s="31">
        <f>'07e_ev_count'!N19*N12*$C$15</f>
        <v>10722322.470000001</v>
      </c>
      <c r="O18" s="31">
        <f>'07e_ev_count'!O19*O12*$C$15</f>
        <v>14046444.720000001</v>
      </c>
      <c r="P18" s="31">
        <f>'07e_ev_count'!P19*P12*$C$15</f>
        <v>17678868.48</v>
      </c>
      <c r="Q18" s="31">
        <f>'07e_ev_count'!Q19*Q12*$C$15+SUM('07b_ev_load_kwh'!S41:S43)</f>
        <v>19730097.379999999</v>
      </c>
      <c r="R18" s="31">
        <f>'07e_ev_count'!R19*R12*$C$15+SUM('07b_ev_load_kwh'!T41:T43)</f>
        <v>28482636.809999999</v>
      </c>
      <c r="S18" s="31">
        <f>'07e_ev_count'!S19*S12*$C$15+SUM('07b_ev_load_kwh'!U41:U43)</f>
        <v>37641721.799999997</v>
      </c>
      <c r="T18" s="31">
        <f>'07e_ev_count'!T19*T12*$C$15+SUM('07b_ev_load_kwh'!V41:V43)</f>
        <v>47230306.479999997</v>
      </c>
    </row>
    <row r="19" spans="1:21" s="10" customFormat="1" x14ac:dyDescent="0.25">
      <c r="A19" s="10" t="s">
        <v>11</v>
      </c>
      <c r="C19" s="29"/>
      <c r="D19" s="31">
        <f>'07e_ev_count'!D20*D13*$C$15</f>
        <v>85468.24</v>
      </c>
      <c r="E19" s="31">
        <f>'07e_ev_count'!E20*E13*$C$15</f>
        <v>83923.199999999997</v>
      </c>
      <c r="F19" s="31">
        <f>'07e_ev_count'!F20*F13*$C$15</f>
        <v>86384.29</v>
      </c>
      <c r="G19" s="31">
        <f>'07e_ev_count'!G20*G13*$C$15</f>
        <v>86009.5</v>
      </c>
      <c r="H19" s="31">
        <f>'07e_ev_count'!H20*H13*$C$15</f>
        <v>71838.78</v>
      </c>
      <c r="I19" s="31">
        <f>'07e_ev_count'!I20*I13*$C$15</f>
        <v>289532.25</v>
      </c>
      <c r="J19" s="31">
        <f>'07e_ev_count'!J20*J13*$C$15</f>
        <v>417592.01</v>
      </c>
      <c r="K19" s="31">
        <f>'07e_ev_count'!K20*K13*$C$15</f>
        <v>961744</v>
      </c>
      <c r="L19" s="31">
        <f>'07e_ev_count'!L20*L13*$C$15</f>
        <v>1494537.9</v>
      </c>
      <c r="M19" s="31">
        <f>'07e_ev_count'!M20*M13*$C$15</f>
        <v>1828065.04</v>
      </c>
      <c r="N19" s="31">
        <f>'07e_ev_count'!N20*N13*$C$15</f>
        <v>2108499.7200000002</v>
      </c>
      <c r="O19" s="31">
        <f>'07e_ev_count'!O20*O13*$C$15</f>
        <v>2523558.7200000002</v>
      </c>
      <c r="P19" s="31">
        <f>'07e_ev_count'!P20*P13*$C$15</f>
        <v>2889957.95</v>
      </c>
      <c r="Q19" s="31">
        <f>'07e_ev_count'!Q20*Q13*$C$15+SUM('07b_ev_load_kwh'!S44:S46)</f>
        <v>3420247.36</v>
      </c>
      <c r="R19" s="31">
        <f>'07e_ev_count'!R20*R13*$C$15+SUM('07b_ev_load_kwh'!T44:T46)</f>
        <v>4390153.04</v>
      </c>
      <c r="S19" s="31">
        <f>'07e_ev_count'!S20*S13*$C$15+SUM('07b_ev_load_kwh'!U44:U46)</f>
        <v>5616996.6399999997</v>
      </c>
      <c r="T19" s="31">
        <f>'07e_ev_count'!T20*T13*$C$15+SUM('07b_ev_load_kwh'!V44:V46)</f>
        <v>7256208.75</v>
      </c>
    </row>
    <row r="20" spans="1:21" s="10" customFormat="1" x14ac:dyDescent="0.25">
      <c r="A20" s="10" t="s">
        <v>57</v>
      </c>
      <c r="C20" s="29"/>
      <c r="D20" s="31">
        <f>'07e_ev_count'!D21*D14*$C$15</f>
        <v>63993.3</v>
      </c>
      <c r="E20" s="31">
        <f>'07e_ev_count'!E21*E14*$C$15</f>
        <v>62027.28</v>
      </c>
      <c r="F20" s="31">
        <f>'07e_ev_count'!F21*F14*$C$15</f>
        <v>63910.22</v>
      </c>
      <c r="G20" s="31">
        <f>'07e_ev_count'!G21*G14*$C$15</f>
        <v>96392.639999999999</v>
      </c>
      <c r="H20" s="31">
        <f>'07e_ev_count'!H21*H14*$C$15</f>
        <v>81431.73</v>
      </c>
      <c r="I20" s="31">
        <f>'07e_ev_count'!I21*I14*$C$15</f>
        <v>129594.26</v>
      </c>
      <c r="J20" s="31">
        <f>'07e_ev_count'!J21*J14*$C$15</f>
        <v>249529.54</v>
      </c>
      <c r="K20" s="31">
        <f>'07e_ev_count'!K21*K14*$C$15</f>
        <v>309976.44</v>
      </c>
      <c r="L20" s="31">
        <f>'07e_ev_count'!L21*L14*$C$15</f>
        <v>397315.84000000003</v>
      </c>
      <c r="M20" s="31">
        <f>'07e_ev_count'!M21*M14*$C$15</f>
        <v>530050.4</v>
      </c>
      <c r="N20" s="31">
        <f>'07e_ev_count'!N21*N14*$C$15</f>
        <v>725434.1</v>
      </c>
      <c r="O20" s="31">
        <f>'07e_ev_count'!O21*O14*$C$15</f>
        <v>1052667</v>
      </c>
      <c r="P20" s="31">
        <f>'07e_ev_count'!P21*P14*$C$15</f>
        <v>1368608.15</v>
      </c>
      <c r="Q20" s="31">
        <f>'07e_ev_count'!Q21*Q14*$C$15+SUM('07b_ev_load_kwh'!S53:S55)</f>
        <v>1816976.96</v>
      </c>
      <c r="R20" s="31">
        <f>'07e_ev_count'!R21*R14*$C$15+SUM('07b_ev_load_kwh'!T53:T55)</f>
        <v>2707695</v>
      </c>
      <c r="S20" s="31">
        <f>'07e_ev_count'!S21*S14*$C$15+SUM('07b_ev_load_kwh'!U53:U55)</f>
        <v>3739242.32</v>
      </c>
      <c r="T20" s="31">
        <f>'07e_ev_count'!T21*T14*$C$15+SUM('07b_ev_load_kwh'!V53:V55)</f>
        <v>5363691.92</v>
      </c>
    </row>
    <row r="21" spans="1:21" s="10" customFormat="1" x14ac:dyDescent="0.25">
      <c r="A21" s="10" t="s">
        <v>50</v>
      </c>
      <c r="C21" s="29"/>
      <c r="D21" s="28" t="s">
        <v>33</v>
      </c>
      <c r="E21" s="28" t="s">
        <v>33</v>
      </c>
      <c r="F21" s="28" t="s">
        <v>33</v>
      </c>
      <c r="G21" s="28" t="s">
        <v>33</v>
      </c>
      <c r="H21" s="28" t="s">
        <v>33</v>
      </c>
      <c r="I21" s="28" t="s">
        <v>33</v>
      </c>
      <c r="J21" s="28" t="s">
        <v>33</v>
      </c>
      <c r="K21" s="28" t="s">
        <v>33</v>
      </c>
      <c r="L21" s="28" t="s">
        <v>33</v>
      </c>
      <c r="M21" s="28" t="s">
        <v>33</v>
      </c>
      <c r="N21" s="28" t="s">
        <v>33</v>
      </c>
      <c r="O21" s="28" t="s">
        <v>33</v>
      </c>
      <c r="P21" s="28" t="s">
        <v>33</v>
      </c>
      <c r="Q21" s="28" t="s">
        <v>33</v>
      </c>
      <c r="R21" s="28" t="s">
        <v>33</v>
      </c>
      <c r="S21" s="28" t="s">
        <v>33</v>
      </c>
      <c r="T21" s="28" t="s">
        <v>33</v>
      </c>
    </row>
    <row r="22" spans="1:21" s="10" customFormat="1" x14ac:dyDescent="0.25">
      <c r="A22" s="10" t="s">
        <v>56</v>
      </c>
      <c r="C22" s="29"/>
      <c r="D22" s="28" t="s">
        <v>33</v>
      </c>
      <c r="E22" s="28" t="s">
        <v>33</v>
      </c>
      <c r="F22" s="28" t="s">
        <v>33</v>
      </c>
      <c r="G22" s="28" t="s">
        <v>33</v>
      </c>
      <c r="H22" s="28" t="s">
        <v>33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8" t="s">
        <v>33</v>
      </c>
      <c r="O22" s="28" t="s">
        <v>33</v>
      </c>
      <c r="P22" s="28" t="s">
        <v>33</v>
      </c>
      <c r="Q22" s="28" t="s">
        <v>33</v>
      </c>
      <c r="R22" s="28" t="s">
        <v>33</v>
      </c>
      <c r="S22" s="28" t="s">
        <v>33</v>
      </c>
      <c r="T22" s="28" t="s">
        <v>33</v>
      </c>
    </row>
    <row r="23" spans="1:21" s="10" customFormat="1" x14ac:dyDescent="0.25">
      <c r="A23" s="10" t="s">
        <v>18</v>
      </c>
      <c r="C23" s="29"/>
      <c r="D23" s="31">
        <f>SUM(D18:D22)</f>
        <v>348099</v>
      </c>
      <c r="E23" s="31">
        <f t="shared" ref="E23:I23" si="0">SUM(E18:E22)</f>
        <v>428285.45999999996</v>
      </c>
      <c r="F23" s="31">
        <f t="shared" si="0"/>
        <v>449234.64</v>
      </c>
      <c r="G23" s="31">
        <f t="shared" si="0"/>
        <v>470058.58</v>
      </c>
      <c r="H23" s="31">
        <f t="shared" si="0"/>
        <v>418639.80999999994</v>
      </c>
      <c r="I23" s="31">
        <f t="shared" si="0"/>
        <v>1528201.11</v>
      </c>
      <c r="J23" s="31">
        <f t="shared" ref="J23:N23" si="1">SUM(J18:J22)</f>
        <v>3020523.75</v>
      </c>
      <c r="K23" s="31">
        <f t="shared" si="1"/>
        <v>5595294.1600000001</v>
      </c>
      <c r="L23" s="31">
        <f t="shared" si="1"/>
        <v>7340845.879999999</v>
      </c>
      <c r="M23" s="31">
        <f t="shared" si="1"/>
        <v>10505659.130000001</v>
      </c>
      <c r="N23" s="31">
        <f t="shared" si="1"/>
        <v>13556256.290000001</v>
      </c>
      <c r="O23" s="31">
        <f t="shared" ref="O23:R23" si="2">SUM(O18:O22)</f>
        <v>17622670.440000001</v>
      </c>
      <c r="P23" s="31">
        <f t="shared" si="2"/>
        <v>21937434.579999998</v>
      </c>
      <c r="Q23" s="31">
        <f t="shared" si="2"/>
        <v>24967321.699999999</v>
      </c>
      <c r="R23" s="31">
        <f t="shared" si="2"/>
        <v>35580484.849999994</v>
      </c>
      <c r="S23" s="31">
        <f t="shared" ref="S23:T23" si="3">SUM(S18:S22)</f>
        <v>46997960.759999998</v>
      </c>
      <c r="T23" s="31">
        <f t="shared" si="3"/>
        <v>59850207.149999999</v>
      </c>
    </row>
    <row r="24" spans="1:21" x14ac:dyDescent="0.25">
      <c r="Q24" s="29"/>
      <c r="R24" s="29"/>
      <c r="T24" s="29"/>
    </row>
    <row r="25" spans="1:21" s="35" customFormat="1" x14ac:dyDescent="0.25">
      <c r="A25" s="35" t="s">
        <v>31</v>
      </c>
      <c r="D25" s="35" t="s">
        <v>33</v>
      </c>
      <c r="E25" s="35" t="s">
        <v>33</v>
      </c>
      <c r="F25" s="35" t="s">
        <v>33</v>
      </c>
      <c r="G25" s="35" t="s">
        <v>33</v>
      </c>
      <c r="H25" s="35" t="s">
        <v>33</v>
      </c>
      <c r="I25" s="35" t="s">
        <v>33</v>
      </c>
      <c r="J25" s="35" t="s">
        <v>33</v>
      </c>
      <c r="K25" s="35" t="s">
        <v>33</v>
      </c>
      <c r="L25" s="35" t="s">
        <v>33</v>
      </c>
      <c r="M25" s="35" t="s">
        <v>33</v>
      </c>
      <c r="N25" s="35" t="s">
        <v>33</v>
      </c>
      <c r="O25" s="35" t="s">
        <v>33</v>
      </c>
      <c r="P25" s="35" t="s">
        <v>33</v>
      </c>
      <c r="Q25" s="36">
        <f>30707.5555019678*1000</f>
        <v>30707555.501967799</v>
      </c>
      <c r="R25" s="36">
        <f>35378.6567161924*1000</f>
        <v>35378656.716192402</v>
      </c>
      <c r="S25" s="36">
        <f>41249.2202508887*1000</f>
        <v>41249220.250888698</v>
      </c>
      <c r="T25" s="36">
        <f>50235.4754806448*1000</f>
        <v>50235475.480644807</v>
      </c>
    </row>
    <row r="28" spans="1:21" ht="49.5" customHeight="1" x14ac:dyDescent="0.25"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</row>
    <row r="29" spans="1:21" x14ac:dyDescent="0.25">
      <c r="C29" s="139"/>
      <c r="D29" s="139"/>
      <c r="E29" s="139"/>
    </row>
    <row r="30" spans="1:21" x14ac:dyDescent="0.25">
      <c r="C30" s="139"/>
      <c r="D30" s="139"/>
      <c r="E30" s="139"/>
    </row>
    <row r="31" spans="1:21" x14ac:dyDescent="0.25">
      <c r="C31" s="139"/>
      <c r="D31" s="139"/>
      <c r="E31" s="139"/>
    </row>
    <row r="32" spans="1:21" x14ac:dyDescent="0.25">
      <c r="C32" s="139"/>
      <c r="D32" s="139"/>
      <c r="E32" s="139"/>
    </row>
    <row r="33" spans="3:5" x14ac:dyDescent="0.25">
      <c r="C33" s="139"/>
      <c r="D33" s="139"/>
      <c r="E33" s="139"/>
    </row>
    <row r="34" spans="3:5" x14ac:dyDescent="0.25">
      <c r="C34" s="139"/>
      <c r="D34" s="139"/>
      <c r="E34" s="139"/>
    </row>
    <row r="35" spans="3:5" x14ac:dyDescent="0.25">
      <c r="C35" s="139"/>
      <c r="D35" s="139"/>
      <c r="E35" s="139"/>
    </row>
    <row r="36" spans="3:5" x14ac:dyDescent="0.25">
      <c r="C36" s="139"/>
      <c r="D36" s="139"/>
      <c r="E36" s="139"/>
    </row>
    <row r="37" spans="3:5" x14ac:dyDescent="0.25">
      <c r="C37" s="139"/>
      <c r="D37" s="139"/>
      <c r="E37" s="139"/>
    </row>
    <row r="38" spans="3:5" x14ac:dyDescent="0.25">
      <c r="C38" s="139"/>
      <c r="D38" s="139"/>
      <c r="E38" s="139"/>
    </row>
    <row r="39" spans="3:5" x14ac:dyDescent="0.25">
      <c r="C39" s="139"/>
      <c r="D39" s="139"/>
      <c r="E39" s="139"/>
    </row>
    <row r="40" spans="3:5" x14ac:dyDescent="0.25">
      <c r="C40" s="139"/>
      <c r="D40" s="139"/>
      <c r="E40" s="139"/>
    </row>
    <row r="41" spans="3:5" x14ac:dyDescent="0.25">
      <c r="C41" s="139"/>
      <c r="D41" s="139"/>
      <c r="E41" s="139"/>
    </row>
    <row r="42" spans="3:5" x14ac:dyDescent="0.25">
      <c r="C42" s="139"/>
      <c r="D42" s="139"/>
      <c r="E42" s="139"/>
    </row>
    <row r="43" spans="3:5" x14ac:dyDescent="0.25">
      <c r="C43" s="139"/>
      <c r="D43" s="139"/>
      <c r="E43" s="139"/>
    </row>
    <row r="44" spans="3:5" x14ac:dyDescent="0.25">
      <c r="C44" s="139"/>
      <c r="D44" s="139"/>
      <c r="E44" s="139"/>
    </row>
    <row r="45" spans="3:5" x14ac:dyDescent="0.25">
      <c r="C45" s="139"/>
      <c r="D45" s="139"/>
      <c r="E45" s="139"/>
    </row>
    <row r="46" spans="3:5" x14ac:dyDescent="0.25">
      <c r="C46" s="139"/>
      <c r="D46" s="139"/>
      <c r="E46" s="139"/>
    </row>
    <row r="47" spans="3:5" x14ac:dyDescent="0.25">
      <c r="C47" s="139"/>
      <c r="D47" s="139"/>
      <c r="E47" s="139"/>
    </row>
    <row r="48" spans="3:5" x14ac:dyDescent="0.25">
      <c r="C48" s="139"/>
      <c r="D48" s="139"/>
      <c r="E48" s="139"/>
    </row>
    <row r="49" spans="3:5" x14ac:dyDescent="0.25">
      <c r="C49" s="139"/>
      <c r="D49" s="139"/>
      <c r="E49" s="139"/>
    </row>
    <row r="50" spans="3:5" x14ac:dyDescent="0.25">
      <c r="C50" s="139"/>
      <c r="D50" s="139"/>
      <c r="E50" s="139"/>
    </row>
  </sheetData>
  <mergeCells count="2">
    <mergeCell ref="C29:E50"/>
    <mergeCell ref="F28:P28"/>
  </mergeCells>
  <hyperlinks>
    <hyperlink ref="B4" r:id="rId1" xr:uid="{0D61E73B-943C-484B-AF5C-F9C93A08E268}"/>
    <hyperlink ref="B9" r:id="rId2" xr:uid="{764357E0-B3C2-4F7E-93B8-3F558B60214D}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E165-1071-4A40-BE66-197E9BC6F8F9}">
  <sheetPr codeName="Sheet4"/>
  <dimension ref="A1:HC57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" x14ac:dyDescent="0.25"/>
  <cols>
    <col min="19" max="19" width="8.85546875" customWidth="1"/>
    <col min="20" max="21" width="8.7109375" customWidth="1"/>
    <col min="22" max="123" width="8.7109375" hidden="1" customWidth="1"/>
    <col min="124" max="133" width="0" hidden="1" customWidth="1"/>
  </cols>
  <sheetData>
    <row r="1" spans="1:211" x14ac:dyDescent="0.25">
      <c r="A1" s="20" t="s">
        <v>76</v>
      </c>
    </row>
    <row r="2" spans="1:211" ht="15.75" x14ac:dyDescent="0.25">
      <c r="A2" s="33" t="s">
        <v>5</v>
      </c>
      <c r="B2" s="34"/>
      <c r="C2" s="34"/>
      <c r="D2" s="34"/>
      <c r="E2" s="34"/>
      <c r="F2" s="34"/>
      <c r="G2" s="34"/>
      <c r="H2" s="34"/>
      <c r="I2" s="2"/>
    </row>
    <row r="3" spans="1:211" ht="15.75" x14ac:dyDescent="0.25">
      <c r="A3" s="1" t="s">
        <v>21</v>
      </c>
      <c r="B3" s="10"/>
    </row>
    <row r="4" spans="1:211" s="29" customFormat="1" x14ac:dyDescent="0.25">
      <c r="B4" s="20" t="s">
        <v>22</v>
      </c>
      <c r="F4" s="20"/>
    </row>
    <row r="5" spans="1:211" s="10" customFormat="1" ht="15.75" x14ac:dyDescent="0.25">
      <c r="B5" s="45" t="s">
        <v>44</v>
      </c>
    </row>
    <row r="6" spans="1:211" s="3" customFormat="1" x14ac:dyDescent="0.25">
      <c r="D6" s="24">
        <v>38718</v>
      </c>
      <c r="E6" s="24">
        <v>38749</v>
      </c>
      <c r="F6" s="24">
        <v>38777</v>
      </c>
      <c r="G6" s="24">
        <v>38808</v>
      </c>
      <c r="H6" s="25">
        <v>38838</v>
      </c>
      <c r="I6" s="25">
        <v>38869</v>
      </c>
      <c r="J6" s="25">
        <v>38899</v>
      </c>
      <c r="K6" s="25">
        <v>38930</v>
      </c>
      <c r="L6" s="25">
        <v>38961</v>
      </c>
      <c r="M6" s="25">
        <v>38991</v>
      </c>
      <c r="N6" s="25">
        <v>39022</v>
      </c>
      <c r="O6" s="25">
        <v>39052</v>
      </c>
      <c r="P6" s="25">
        <v>39083</v>
      </c>
      <c r="Q6" s="25">
        <v>39114</v>
      </c>
      <c r="R6" s="25">
        <v>39142</v>
      </c>
      <c r="S6" s="25">
        <v>39173</v>
      </c>
      <c r="T6" s="25">
        <v>39203</v>
      </c>
      <c r="U6" s="25">
        <v>39234</v>
      </c>
      <c r="V6" s="25">
        <v>39264</v>
      </c>
      <c r="W6" s="25">
        <v>39295</v>
      </c>
      <c r="X6" s="25">
        <v>39326</v>
      </c>
      <c r="Y6" s="25">
        <v>39356</v>
      </c>
      <c r="Z6" s="25">
        <v>39387</v>
      </c>
      <c r="AA6" s="25">
        <v>39417</v>
      </c>
      <c r="AB6" s="25">
        <v>39448</v>
      </c>
      <c r="AC6" s="25">
        <v>39479</v>
      </c>
      <c r="AD6" s="25">
        <v>39508</v>
      </c>
      <c r="AE6" s="25">
        <v>39539</v>
      </c>
      <c r="AF6" s="25">
        <v>39569</v>
      </c>
      <c r="AG6" s="25">
        <v>39600</v>
      </c>
      <c r="AH6" s="25">
        <v>39630</v>
      </c>
      <c r="AI6" s="25">
        <v>39661</v>
      </c>
      <c r="AJ6" s="25">
        <v>39692</v>
      </c>
      <c r="AK6" s="25">
        <v>39722</v>
      </c>
      <c r="AL6" s="25">
        <v>39753</v>
      </c>
      <c r="AM6" s="25">
        <v>39783</v>
      </c>
      <c r="AN6" s="25">
        <v>39814</v>
      </c>
      <c r="AO6" s="25">
        <v>39845</v>
      </c>
      <c r="AP6" s="25">
        <v>39873</v>
      </c>
      <c r="AQ6" s="25">
        <v>39904</v>
      </c>
      <c r="AR6" s="25">
        <v>39934</v>
      </c>
      <c r="AS6" s="25">
        <v>39965</v>
      </c>
      <c r="AT6" s="25">
        <v>39995</v>
      </c>
      <c r="AU6" s="25">
        <v>40026</v>
      </c>
      <c r="AV6" s="25">
        <v>40057</v>
      </c>
      <c r="AW6" s="25">
        <v>40087</v>
      </c>
      <c r="AX6" s="25">
        <v>40118</v>
      </c>
      <c r="AY6" s="25">
        <v>40148</v>
      </c>
      <c r="AZ6" s="25">
        <v>40179</v>
      </c>
      <c r="BA6" s="25">
        <v>40210</v>
      </c>
      <c r="BB6" s="25">
        <v>40238</v>
      </c>
      <c r="BC6" s="25">
        <v>40269</v>
      </c>
      <c r="BD6" s="25">
        <v>40299</v>
      </c>
      <c r="BE6" s="25">
        <v>40330</v>
      </c>
      <c r="BF6" s="25">
        <v>40360</v>
      </c>
      <c r="BG6" s="25">
        <v>40391</v>
      </c>
      <c r="BH6" s="25">
        <v>40422</v>
      </c>
      <c r="BI6" s="25">
        <v>40452</v>
      </c>
      <c r="BJ6" s="25">
        <v>40483</v>
      </c>
      <c r="BK6" s="25">
        <v>40513</v>
      </c>
      <c r="BL6" s="25">
        <v>40544</v>
      </c>
      <c r="BM6" s="25">
        <v>40575</v>
      </c>
      <c r="BN6" s="25">
        <v>40603</v>
      </c>
      <c r="BO6" s="25">
        <v>40634</v>
      </c>
      <c r="BP6" s="25">
        <v>40664</v>
      </c>
      <c r="BQ6" s="25">
        <v>40695</v>
      </c>
      <c r="BR6" s="25">
        <v>40725</v>
      </c>
      <c r="BS6" s="25">
        <v>40756</v>
      </c>
      <c r="BT6" s="25">
        <v>40787</v>
      </c>
      <c r="BU6" s="25">
        <v>40817</v>
      </c>
      <c r="BV6" s="25">
        <v>40848</v>
      </c>
      <c r="BW6" s="25">
        <v>40878</v>
      </c>
      <c r="BX6" s="25">
        <v>40909</v>
      </c>
      <c r="BY6" s="25">
        <v>40940</v>
      </c>
      <c r="BZ6" s="25">
        <v>40969</v>
      </c>
      <c r="CA6" s="25">
        <v>41000</v>
      </c>
      <c r="CB6" s="25">
        <v>41030</v>
      </c>
      <c r="CC6" s="25">
        <v>41061</v>
      </c>
      <c r="CD6" s="25">
        <v>41091</v>
      </c>
      <c r="CE6" s="25">
        <v>41122</v>
      </c>
      <c r="CF6" s="25">
        <v>41153</v>
      </c>
      <c r="CG6" s="25">
        <v>41183</v>
      </c>
      <c r="CH6" s="25">
        <v>41214</v>
      </c>
      <c r="CI6" s="25">
        <v>41244</v>
      </c>
      <c r="CJ6" s="25">
        <v>41275</v>
      </c>
      <c r="CK6" s="25">
        <v>41306</v>
      </c>
      <c r="CL6" s="25">
        <v>41334</v>
      </c>
      <c r="CM6" s="25">
        <v>41365</v>
      </c>
      <c r="CN6" s="25">
        <v>41395</v>
      </c>
      <c r="CO6" s="25">
        <v>41426</v>
      </c>
      <c r="CP6" s="25">
        <v>41456</v>
      </c>
      <c r="CQ6" s="25">
        <v>41487</v>
      </c>
      <c r="CR6" s="25">
        <v>41518</v>
      </c>
      <c r="CS6" s="25">
        <v>41548</v>
      </c>
      <c r="CT6" s="25">
        <v>41579</v>
      </c>
      <c r="CU6" s="25">
        <v>41609</v>
      </c>
      <c r="CV6" s="25">
        <v>41640</v>
      </c>
      <c r="CW6" s="25">
        <v>41671</v>
      </c>
      <c r="CX6" s="25">
        <v>41699</v>
      </c>
      <c r="CY6" s="25">
        <v>41730</v>
      </c>
      <c r="CZ6" s="25">
        <v>41760</v>
      </c>
      <c r="DA6" s="25">
        <v>41791</v>
      </c>
      <c r="DB6" s="25">
        <v>41821</v>
      </c>
      <c r="DC6" s="25">
        <v>41852</v>
      </c>
      <c r="DD6" s="25">
        <v>41883</v>
      </c>
      <c r="DE6" s="25">
        <v>41913</v>
      </c>
      <c r="DF6" s="25">
        <v>41944</v>
      </c>
      <c r="DG6" s="25">
        <v>41974</v>
      </c>
      <c r="DH6" s="25">
        <v>42005</v>
      </c>
      <c r="DI6" s="25">
        <v>42036</v>
      </c>
      <c r="DJ6" s="25">
        <v>42064</v>
      </c>
      <c r="DK6" s="25">
        <v>42095</v>
      </c>
      <c r="DL6" s="25">
        <v>42125</v>
      </c>
      <c r="DM6" s="25">
        <v>42156</v>
      </c>
      <c r="DN6" s="25">
        <v>42186</v>
      </c>
      <c r="DO6" s="25">
        <v>42217</v>
      </c>
      <c r="DP6" s="25">
        <v>42248</v>
      </c>
      <c r="DQ6" s="25">
        <v>42278</v>
      </c>
      <c r="DR6" s="25">
        <v>42309</v>
      </c>
      <c r="DS6" s="25">
        <v>42339</v>
      </c>
      <c r="DT6" s="25">
        <v>42370</v>
      </c>
      <c r="DU6" s="25">
        <v>42401</v>
      </c>
      <c r="DV6" s="25">
        <v>42430</v>
      </c>
      <c r="DW6" s="25">
        <v>42461</v>
      </c>
      <c r="DX6" s="25">
        <v>42491</v>
      </c>
      <c r="DY6" s="25">
        <v>42522</v>
      </c>
      <c r="DZ6" s="25">
        <v>42552</v>
      </c>
      <c r="EA6" s="25">
        <v>42583</v>
      </c>
      <c r="EB6" s="25">
        <v>42614</v>
      </c>
      <c r="EC6" s="25">
        <v>42644</v>
      </c>
      <c r="ED6" s="25">
        <v>42675</v>
      </c>
      <c r="EE6" s="25">
        <v>42705</v>
      </c>
      <c r="EF6" s="25">
        <v>42736</v>
      </c>
      <c r="EG6" s="25">
        <v>42767</v>
      </c>
      <c r="EH6" s="25">
        <v>42795</v>
      </c>
      <c r="EI6" s="25">
        <v>42826</v>
      </c>
      <c r="EJ6" s="25">
        <v>42856</v>
      </c>
      <c r="EK6" s="25">
        <v>42887</v>
      </c>
      <c r="EL6" s="25">
        <v>42917</v>
      </c>
      <c r="EM6" s="25">
        <v>42948</v>
      </c>
      <c r="EN6" s="25">
        <v>42979</v>
      </c>
      <c r="EO6" s="25">
        <v>43009</v>
      </c>
      <c r="EP6" s="25">
        <v>43040</v>
      </c>
      <c r="EQ6" s="25">
        <v>43070</v>
      </c>
      <c r="ER6" s="25">
        <v>43101</v>
      </c>
      <c r="ES6" s="25">
        <v>43132</v>
      </c>
      <c r="ET6" s="25">
        <v>43160</v>
      </c>
      <c r="EU6" s="25">
        <v>43191</v>
      </c>
      <c r="EV6" s="25">
        <v>43221</v>
      </c>
      <c r="EW6" s="25">
        <v>43252</v>
      </c>
      <c r="EX6" s="25">
        <v>43282</v>
      </c>
      <c r="EY6" s="25">
        <v>43313</v>
      </c>
      <c r="EZ6" s="25">
        <v>43344</v>
      </c>
      <c r="FA6" s="25">
        <v>43374</v>
      </c>
      <c r="FB6" s="25">
        <v>43405</v>
      </c>
      <c r="FC6" s="25">
        <v>43435</v>
      </c>
      <c r="FD6" s="25">
        <v>43466</v>
      </c>
      <c r="FE6" s="25">
        <v>43497</v>
      </c>
      <c r="FF6" s="25">
        <v>43525</v>
      </c>
      <c r="FG6" s="25">
        <v>43556</v>
      </c>
      <c r="FH6" s="25">
        <v>43586</v>
      </c>
      <c r="FI6" s="25">
        <v>43617</v>
      </c>
      <c r="FJ6" s="25">
        <v>43647</v>
      </c>
      <c r="FK6" s="25">
        <v>43678</v>
      </c>
      <c r="FL6" s="25">
        <v>43709</v>
      </c>
      <c r="FM6" s="25">
        <v>43739</v>
      </c>
      <c r="FN6" s="25">
        <v>43770</v>
      </c>
      <c r="FO6" s="25">
        <v>43800</v>
      </c>
      <c r="FP6" s="25">
        <v>43831</v>
      </c>
      <c r="FQ6" s="25">
        <v>43862</v>
      </c>
      <c r="FR6" s="25">
        <v>43891</v>
      </c>
      <c r="FS6" s="25">
        <v>43922</v>
      </c>
      <c r="FT6" s="25">
        <v>43952</v>
      </c>
      <c r="FU6" s="25">
        <v>43983</v>
      </c>
      <c r="FV6" s="25">
        <v>44013</v>
      </c>
      <c r="FW6" s="25">
        <v>44044</v>
      </c>
      <c r="FX6" s="25">
        <v>44075</v>
      </c>
      <c r="FY6" s="25">
        <v>44105</v>
      </c>
      <c r="FZ6" s="25">
        <v>44136</v>
      </c>
      <c r="GA6" s="25">
        <v>44166</v>
      </c>
      <c r="GB6" s="25">
        <v>44197</v>
      </c>
      <c r="GC6" s="25">
        <v>44228</v>
      </c>
      <c r="GD6" s="25">
        <v>44256</v>
      </c>
      <c r="GE6" s="25">
        <v>44287</v>
      </c>
      <c r="GF6" s="25">
        <v>44317</v>
      </c>
      <c r="GG6" s="25">
        <v>44348</v>
      </c>
      <c r="GH6" s="25">
        <v>44378</v>
      </c>
      <c r="GI6" s="25">
        <v>44409</v>
      </c>
      <c r="GJ6" s="25">
        <v>44440</v>
      </c>
      <c r="GK6" s="25">
        <v>44470</v>
      </c>
      <c r="GL6" s="25">
        <v>44501</v>
      </c>
      <c r="GM6" s="25">
        <v>44531</v>
      </c>
      <c r="GN6" s="25">
        <v>44562</v>
      </c>
      <c r="GO6" s="25">
        <v>44593</v>
      </c>
      <c r="GP6" s="25">
        <v>44621</v>
      </c>
      <c r="GQ6" s="25">
        <v>44652</v>
      </c>
      <c r="GR6" s="25">
        <v>44682</v>
      </c>
      <c r="GS6" s="25">
        <v>44713</v>
      </c>
      <c r="GT6" s="25">
        <v>44743</v>
      </c>
      <c r="GU6" s="25">
        <v>44774</v>
      </c>
      <c r="GV6" s="25">
        <v>44805</v>
      </c>
      <c r="GW6" s="25">
        <v>44835</v>
      </c>
      <c r="GX6" s="25">
        <v>44866</v>
      </c>
      <c r="GY6" s="25">
        <v>44896</v>
      </c>
    </row>
    <row r="7" spans="1:211" s="19" customFormat="1" x14ac:dyDescent="0.25"/>
    <row r="8" spans="1:211" s="4" customFormat="1" x14ac:dyDescent="0.25"/>
    <row r="9" spans="1:211" s="15" customFormat="1" x14ac:dyDescent="0.25">
      <c r="B9" s="16" t="s">
        <v>16</v>
      </c>
      <c r="C9" s="16" t="s">
        <v>17</v>
      </c>
      <c r="D9" s="17">
        <v>38718</v>
      </c>
      <c r="E9" s="17">
        <v>38749</v>
      </c>
      <c r="F9" s="17">
        <v>38777</v>
      </c>
      <c r="G9" s="17">
        <v>38808</v>
      </c>
      <c r="H9" s="18">
        <v>38838</v>
      </c>
      <c r="I9" s="18">
        <v>38869</v>
      </c>
      <c r="J9" s="18">
        <v>38899</v>
      </c>
      <c r="K9" s="18">
        <v>38930</v>
      </c>
      <c r="L9" s="18">
        <v>38961</v>
      </c>
      <c r="M9" s="18">
        <v>38991</v>
      </c>
      <c r="N9" s="18">
        <v>39022</v>
      </c>
      <c r="O9" s="18">
        <v>39052</v>
      </c>
      <c r="P9" s="18">
        <v>39083</v>
      </c>
      <c r="Q9" s="18">
        <v>39114</v>
      </c>
      <c r="R9" s="18">
        <v>39142</v>
      </c>
      <c r="S9" s="18">
        <v>39173</v>
      </c>
      <c r="T9" s="18">
        <v>39203</v>
      </c>
      <c r="U9" s="18">
        <v>39234</v>
      </c>
      <c r="V9" s="18">
        <v>39264</v>
      </c>
      <c r="W9" s="18">
        <v>39295</v>
      </c>
      <c r="X9" s="18">
        <v>39326</v>
      </c>
      <c r="Y9" s="18">
        <v>39356</v>
      </c>
      <c r="Z9" s="18">
        <v>39387</v>
      </c>
      <c r="AA9" s="18">
        <v>39417</v>
      </c>
      <c r="AB9" s="18">
        <v>39448</v>
      </c>
      <c r="AC9" s="18">
        <v>39479</v>
      </c>
      <c r="AD9" s="18">
        <v>39508</v>
      </c>
      <c r="AE9" s="18">
        <v>39539</v>
      </c>
      <c r="AF9" s="18">
        <v>39569</v>
      </c>
      <c r="AG9" s="18">
        <v>39600</v>
      </c>
      <c r="AH9" s="18">
        <v>39630</v>
      </c>
      <c r="AI9" s="18">
        <v>39661</v>
      </c>
      <c r="AJ9" s="18">
        <v>39692</v>
      </c>
      <c r="AK9" s="18">
        <v>39722</v>
      </c>
      <c r="AL9" s="18">
        <v>39753</v>
      </c>
      <c r="AM9" s="18">
        <v>39783</v>
      </c>
      <c r="AN9" s="18">
        <v>39814</v>
      </c>
      <c r="AO9" s="18">
        <v>39845</v>
      </c>
      <c r="AP9" s="18">
        <v>39873</v>
      </c>
      <c r="AQ9" s="18">
        <v>39904</v>
      </c>
      <c r="AR9" s="18">
        <v>39934</v>
      </c>
      <c r="AS9" s="18">
        <v>39965</v>
      </c>
      <c r="AT9" s="18">
        <v>39995</v>
      </c>
      <c r="AU9" s="18">
        <v>40026</v>
      </c>
      <c r="AV9" s="18">
        <v>40057</v>
      </c>
      <c r="AW9" s="18">
        <v>40087</v>
      </c>
      <c r="AX9" s="18">
        <v>40118</v>
      </c>
      <c r="AY9" s="18">
        <v>40148</v>
      </c>
      <c r="AZ9" s="18">
        <v>40179</v>
      </c>
      <c r="BA9" s="18">
        <v>40210</v>
      </c>
      <c r="BB9" s="18">
        <v>40238</v>
      </c>
      <c r="BC9" s="18">
        <v>40269</v>
      </c>
      <c r="BD9" s="18">
        <v>40299</v>
      </c>
      <c r="BE9" s="18">
        <v>40330</v>
      </c>
      <c r="BF9" s="18">
        <v>40360</v>
      </c>
      <c r="BG9" s="18">
        <v>40391</v>
      </c>
      <c r="BH9" s="18">
        <v>40422</v>
      </c>
      <c r="BI9" s="18">
        <v>40452</v>
      </c>
      <c r="BJ9" s="18">
        <v>40483</v>
      </c>
      <c r="BK9" s="18">
        <v>40513</v>
      </c>
      <c r="BL9" s="18">
        <v>40544</v>
      </c>
      <c r="BM9" s="18">
        <v>40575</v>
      </c>
      <c r="BN9" s="18">
        <v>40603</v>
      </c>
      <c r="BO9" s="18">
        <v>40634</v>
      </c>
      <c r="BP9" s="18">
        <v>40664</v>
      </c>
      <c r="BQ9" s="18">
        <v>40695</v>
      </c>
      <c r="BR9" s="18">
        <v>40725</v>
      </c>
      <c r="BS9" s="18">
        <v>40756</v>
      </c>
      <c r="BT9" s="18">
        <v>40787</v>
      </c>
      <c r="BU9" s="18">
        <v>40817</v>
      </c>
      <c r="BV9" s="18">
        <v>40848</v>
      </c>
      <c r="BW9" s="18">
        <v>40878</v>
      </c>
      <c r="BX9" s="18">
        <v>40909</v>
      </c>
      <c r="BY9" s="18">
        <v>40940</v>
      </c>
      <c r="BZ9" s="18">
        <v>40969</v>
      </c>
      <c r="CA9" s="18">
        <v>41000</v>
      </c>
      <c r="CB9" s="18">
        <v>41030</v>
      </c>
      <c r="CC9" s="18">
        <v>41061</v>
      </c>
      <c r="CD9" s="18">
        <v>41091</v>
      </c>
      <c r="CE9" s="18">
        <v>41122</v>
      </c>
      <c r="CF9" s="18">
        <v>41153</v>
      </c>
      <c r="CG9" s="18">
        <v>41183</v>
      </c>
      <c r="CH9" s="18">
        <v>41214</v>
      </c>
      <c r="CI9" s="18">
        <v>41244</v>
      </c>
      <c r="CJ9" s="18">
        <v>41275</v>
      </c>
      <c r="CK9" s="18">
        <v>41306</v>
      </c>
      <c r="CL9" s="18">
        <v>41334</v>
      </c>
      <c r="CM9" s="18">
        <v>41365</v>
      </c>
      <c r="CN9" s="18">
        <v>41395</v>
      </c>
      <c r="CO9" s="18">
        <v>41426</v>
      </c>
      <c r="CP9" s="18">
        <v>41456</v>
      </c>
      <c r="CQ9" s="18">
        <v>41487</v>
      </c>
      <c r="CR9" s="18">
        <v>41518</v>
      </c>
      <c r="CS9" s="18">
        <v>41548</v>
      </c>
      <c r="CT9" s="18">
        <v>41579</v>
      </c>
      <c r="CU9" s="18">
        <v>41609</v>
      </c>
      <c r="CV9" s="18">
        <v>41640</v>
      </c>
      <c r="CW9" s="18">
        <v>41671</v>
      </c>
      <c r="CX9" s="18">
        <v>41699</v>
      </c>
      <c r="CY9" s="18">
        <v>41730</v>
      </c>
      <c r="CZ9" s="18">
        <v>41760</v>
      </c>
      <c r="DA9" s="18">
        <v>41791</v>
      </c>
      <c r="DB9" s="18">
        <v>41821</v>
      </c>
      <c r="DC9" s="18">
        <v>41852</v>
      </c>
      <c r="DD9" s="18">
        <v>41883</v>
      </c>
      <c r="DE9" s="18">
        <v>41913</v>
      </c>
      <c r="DF9" s="18">
        <v>41944</v>
      </c>
      <c r="DG9" s="18">
        <v>41974</v>
      </c>
      <c r="DH9" s="18">
        <v>42005</v>
      </c>
      <c r="DI9" s="18">
        <v>42036</v>
      </c>
      <c r="DJ9" s="18">
        <v>42064</v>
      </c>
      <c r="DK9" s="18">
        <v>42095</v>
      </c>
      <c r="DL9" s="18">
        <v>42125</v>
      </c>
      <c r="DM9" s="18">
        <v>42156</v>
      </c>
      <c r="DN9" s="18">
        <v>42186</v>
      </c>
      <c r="DO9" s="18">
        <v>42217</v>
      </c>
      <c r="DP9" s="18">
        <v>42248</v>
      </c>
      <c r="DQ9" s="18">
        <v>42278</v>
      </c>
      <c r="DR9" s="18">
        <v>42309</v>
      </c>
      <c r="DS9" s="18">
        <v>42339</v>
      </c>
      <c r="DT9" s="18">
        <v>42370</v>
      </c>
      <c r="DU9" s="18">
        <v>42401</v>
      </c>
      <c r="DV9" s="18">
        <v>42430</v>
      </c>
      <c r="DW9" s="18">
        <v>42461</v>
      </c>
      <c r="DX9" s="18">
        <v>42491</v>
      </c>
      <c r="DY9" s="18">
        <v>42522</v>
      </c>
      <c r="DZ9" s="18">
        <v>42552</v>
      </c>
      <c r="EA9" s="18">
        <v>42583</v>
      </c>
      <c r="EB9" s="18">
        <v>42614</v>
      </c>
      <c r="EC9" s="18">
        <v>42644</v>
      </c>
      <c r="ED9" s="18">
        <v>42675</v>
      </c>
      <c r="EE9" s="18">
        <v>42705</v>
      </c>
      <c r="EF9" s="18">
        <v>42736</v>
      </c>
      <c r="EG9" s="18">
        <v>42767</v>
      </c>
      <c r="EH9" s="18">
        <v>42795</v>
      </c>
      <c r="EI9" s="18">
        <v>42826</v>
      </c>
      <c r="EJ9" s="18">
        <v>42856</v>
      </c>
      <c r="EK9" s="18">
        <v>42887</v>
      </c>
      <c r="EL9" s="18">
        <v>42917</v>
      </c>
      <c r="EM9" s="18">
        <v>42948</v>
      </c>
      <c r="EN9" s="18">
        <v>42979</v>
      </c>
      <c r="EO9" s="18">
        <v>43009</v>
      </c>
      <c r="EP9" s="18">
        <v>43040</v>
      </c>
      <c r="EQ9" s="18">
        <v>43070</v>
      </c>
      <c r="ER9" s="18">
        <v>43101</v>
      </c>
      <c r="ES9" s="18">
        <v>43132</v>
      </c>
      <c r="ET9" s="18">
        <v>43160</v>
      </c>
      <c r="EU9" s="18">
        <v>43191</v>
      </c>
      <c r="EV9" s="18">
        <v>43221</v>
      </c>
      <c r="EW9" s="18">
        <v>43252</v>
      </c>
      <c r="EX9" s="18">
        <v>43282</v>
      </c>
      <c r="EY9" s="18">
        <v>43313</v>
      </c>
      <c r="EZ9" s="18">
        <v>43344</v>
      </c>
      <c r="FA9" s="18">
        <v>43374</v>
      </c>
      <c r="FB9" s="18">
        <v>43405</v>
      </c>
      <c r="FC9" s="18">
        <v>43435</v>
      </c>
      <c r="FD9" s="18">
        <v>43466</v>
      </c>
      <c r="FE9" s="18">
        <v>43497</v>
      </c>
      <c r="FF9" s="18">
        <v>43525</v>
      </c>
      <c r="FG9" s="18">
        <v>43556</v>
      </c>
      <c r="FH9" s="18">
        <v>43586</v>
      </c>
      <c r="FI9" s="18">
        <v>43617</v>
      </c>
      <c r="FJ9" s="18">
        <v>43647</v>
      </c>
      <c r="FK9" s="18">
        <v>43678</v>
      </c>
      <c r="FL9" s="18">
        <v>43709</v>
      </c>
      <c r="FM9" s="18">
        <v>43739</v>
      </c>
      <c r="FN9" s="18">
        <v>43770</v>
      </c>
      <c r="FO9" s="18">
        <v>43800</v>
      </c>
      <c r="FP9" s="18">
        <v>43831</v>
      </c>
      <c r="FQ9" s="18">
        <v>43862</v>
      </c>
      <c r="FR9" s="18">
        <v>43891</v>
      </c>
      <c r="FS9" s="18">
        <v>43922</v>
      </c>
      <c r="FT9" s="18">
        <v>43952</v>
      </c>
      <c r="FU9" s="18">
        <v>43983</v>
      </c>
      <c r="FV9" s="18">
        <v>44013</v>
      </c>
      <c r="FW9" s="18">
        <v>44044</v>
      </c>
      <c r="FX9" s="18">
        <v>44075</v>
      </c>
      <c r="FY9" s="18">
        <v>44105</v>
      </c>
      <c r="FZ9" s="18">
        <v>44136</v>
      </c>
      <c r="GA9" s="18">
        <v>44166</v>
      </c>
      <c r="GB9" s="18">
        <v>44197</v>
      </c>
      <c r="GC9" s="18">
        <v>44228</v>
      </c>
      <c r="GD9" s="18">
        <v>44256</v>
      </c>
      <c r="GE9" s="18">
        <v>44287</v>
      </c>
    </row>
    <row r="10" spans="1:211" x14ac:dyDescent="0.25">
      <c r="A10" s="29" t="s">
        <v>55</v>
      </c>
      <c r="B10" s="6" t="s">
        <v>14</v>
      </c>
      <c r="C10" s="6" t="s">
        <v>15</v>
      </c>
      <c r="D10" s="7">
        <v>68</v>
      </c>
      <c r="E10" s="7">
        <v>70</v>
      </c>
      <c r="F10" s="7">
        <v>68</v>
      </c>
      <c r="G10" s="7">
        <v>70</v>
      </c>
      <c r="H10" s="7">
        <v>70</v>
      </c>
      <c r="I10" s="7">
        <v>72</v>
      </c>
      <c r="J10" s="7">
        <v>70</v>
      </c>
      <c r="K10" s="7">
        <v>70</v>
      </c>
      <c r="L10" s="7">
        <v>70</v>
      </c>
      <c r="M10" s="7">
        <v>74</v>
      </c>
      <c r="N10" s="7">
        <v>75</v>
      </c>
      <c r="O10" s="7">
        <v>74</v>
      </c>
      <c r="P10" s="7">
        <v>78</v>
      </c>
      <c r="Q10" s="7">
        <v>95</v>
      </c>
      <c r="R10" s="7">
        <v>103</v>
      </c>
      <c r="S10" s="7">
        <v>105</v>
      </c>
      <c r="T10" s="7">
        <v>103</v>
      </c>
      <c r="U10" s="7">
        <v>102</v>
      </c>
      <c r="V10" s="7">
        <v>101</v>
      </c>
      <c r="W10" s="7">
        <v>98</v>
      </c>
      <c r="X10" s="7">
        <v>102</v>
      </c>
      <c r="Y10" s="7">
        <v>102</v>
      </c>
      <c r="Z10" s="7">
        <v>103</v>
      </c>
      <c r="AA10" s="7">
        <v>102</v>
      </c>
      <c r="AB10" s="7">
        <v>103</v>
      </c>
      <c r="AC10" s="7">
        <v>103</v>
      </c>
      <c r="AD10" s="7">
        <v>100</v>
      </c>
      <c r="AE10" s="7">
        <v>99</v>
      </c>
      <c r="AF10" s="7">
        <v>101</v>
      </c>
      <c r="AG10" s="7">
        <v>101</v>
      </c>
      <c r="AH10" s="7">
        <v>101</v>
      </c>
      <c r="AI10" s="7">
        <v>105</v>
      </c>
      <c r="AJ10" s="7">
        <v>109</v>
      </c>
      <c r="AK10" s="7">
        <v>110</v>
      </c>
      <c r="AL10" s="7">
        <v>109</v>
      </c>
      <c r="AM10" s="7">
        <v>109</v>
      </c>
      <c r="AN10" s="7">
        <v>111</v>
      </c>
      <c r="AO10" s="7">
        <v>115</v>
      </c>
      <c r="AP10" s="7">
        <v>116</v>
      </c>
      <c r="AQ10" s="7">
        <v>111</v>
      </c>
      <c r="AR10" s="7">
        <v>112</v>
      </c>
      <c r="AS10" s="7">
        <v>112</v>
      </c>
      <c r="AT10" s="7">
        <v>105</v>
      </c>
      <c r="AU10" s="7">
        <v>105</v>
      </c>
      <c r="AV10" s="7">
        <v>105</v>
      </c>
      <c r="AW10" s="7">
        <v>103</v>
      </c>
      <c r="AX10" s="7">
        <v>105</v>
      </c>
      <c r="AY10" s="7">
        <v>106</v>
      </c>
      <c r="AZ10" s="7">
        <v>110</v>
      </c>
      <c r="BA10" s="7">
        <v>106</v>
      </c>
      <c r="BB10" s="7">
        <v>104</v>
      </c>
      <c r="BC10" s="7">
        <v>103</v>
      </c>
      <c r="BD10" s="7">
        <v>104</v>
      </c>
      <c r="BE10" s="7">
        <v>104</v>
      </c>
      <c r="BF10" s="7">
        <v>102</v>
      </c>
      <c r="BG10" s="7">
        <v>99</v>
      </c>
      <c r="BH10" s="7">
        <v>98</v>
      </c>
      <c r="BI10" s="7">
        <v>98</v>
      </c>
      <c r="BJ10" s="7">
        <v>96</v>
      </c>
      <c r="BK10" s="7">
        <v>98</v>
      </c>
      <c r="BL10" s="7">
        <v>151</v>
      </c>
      <c r="BM10" s="7">
        <v>148</v>
      </c>
      <c r="BN10" s="7">
        <v>148</v>
      </c>
      <c r="BO10" s="7">
        <v>159</v>
      </c>
      <c r="BP10" s="7">
        <v>185</v>
      </c>
      <c r="BQ10" s="7">
        <v>207</v>
      </c>
      <c r="BR10" s="7">
        <v>224</v>
      </c>
      <c r="BS10" s="7">
        <v>289</v>
      </c>
      <c r="BT10" s="7">
        <v>375</v>
      </c>
      <c r="BU10" s="7">
        <v>390</v>
      </c>
      <c r="BV10" s="7">
        <v>396</v>
      </c>
      <c r="BW10" s="7">
        <v>410</v>
      </c>
      <c r="BX10" s="7">
        <v>495</v>
      </c>
      <c r="BY10" s="7">
        <v>526</v>
      </c>
      <c r="BZ10" s="7">
        <v>547</v>
      </c>
      <c r="CA10" s="7">
        <v>565</v>
      </c>
      <c r="CB10" s="7">
        <v>614</v>
      </c>
      <c r="CC10" s="7">
        <v>650</v>
      </c>
      <c r="CD10" s="7">
        <v>678</v>
      </c>
      <c r="CE10" s="7">
        <v>719</v>
      </c>
      <c r="CF10" s="7">
        <v>737</v>
      </c>
      <c r="CG10" s="7">
        <v>785</v>
      </c>
      <c r="CH10" s="7">
        <v>845</v>
      </c>
      <c r="CI10" s="7">
        <v>870</v>
      </c>
      <c r="CJ10" s="7">
        <v>906</v>
      </c>
      <c r="CK10" s="7">
        <v>946</v>
      </c>
      <c r="CL10" s="7">
        <v>972</v>
      </c>
      <c r="CM10" s="7">
        <v>1009</v>
      </c>
      <c r="CN10" s="7">
        <v>1093</v>
      </c>
      <c r="CO10" s="7">
        <v>1178</v>
      </c>
      <c r="CP10" s="7">
        <v>1307</v>
      </c>
      <c r="CQ10" s="7">
        <v>1371</v>
      </c>
      <c r="CR10" s="7">
        <v>1427</v>
      </c>
      <c r="CS10" s="7">
        <v>1498</v>
      </c>
      <c r="CT10" s="7">
        <v>1560</v>
      </c>
      <c r="CU10" s="7">
        <v>1602</v>
      </c>
      <c r="CV10" s="7">
        <v>1661</v>
      </c>
      <c r="CW10" s="7">
        <v>1716</v>
      </c>
      <c r="CX10" s="7">
        <v>1757</v>
      </c>
      <c r="CY10" s="7">
        <v>1808</v>
      </c>
      <c r="CZ10" s="7">
        <v>1852</v>
      </c>
      <c r="DA10" s="7">
        <v>1924</v>
      </c>
      <c r="DB10" s="7">
        <v>2002</v>
      </c>
      <c r="DC10" s="7">
        <v>2084</v>
      </c>
      <c r="DD10" s="7">
        <v>2147</v>
      </c>
      <c r="DE10" s="7">
        <v>2226</v>
      </c>
      <c r="DF10" s="7">
        <v>2275</v>
      </c>
      <c r="DG10" s="7">
        <v>2318</v>
      </c>
      <c r="DH10" s="7">
        <v>2382</v>
      </c>
      <c r="DI10" s="7">
        <v>2458</v>
      </c>
      <c r="DJ10" s="7">
        <v>2498</v>
      </c>
      <c r="DK10" s="7">
        <v>2571</v>
      </c>
      <c r="DL10" s="7">
        <v>2620</v>
      </c>
      <c r="DM10" s="7">
        <v>2652</v>
      </c>
      <c r="DN10" s="7">
        <v>2680</v>
      </c>
      <c r="DO10" s="7">
        <v>2763</v>
      </c>
      <c r="DP10" s="7">
        <v>2824</v>
      </c>
      <c r="DQ10" s="7">
        <v>2893</v>
      </c>
      <c r="DR10" s="7">
        <v>2957</v>
      </c>
      <c r="DS10" s="7">
        <v>3013</v>
      </c>
      <c r="DT10" s="7">
        <v>3088</v>
      </c>
      <c r="DU10" s="7">
        <v>3188</v>
      </c>
      <c r="DV10" s="7">
        <v>3233</v>
      </c>
      <c r="DW10" s="7">
        <v>3273</v>
      </c>
      <c r="DX10" s="7">
        <v>3370</v>
      </c>
      <c r="DY10" s="7">
        <v>3412</v>
      </c>
      <c r="DZ10" s="7">
        <v>3451</v>
      </c>
      <c r="EA10" s="7">
        <v>3548</v>
      </c>
      <c r="EB10" s="7">
        <v>3650</v>
      </c>
      <c r="EC10" s="7">
        <v>3742</v>
      </c>
      <c r="ED10" s="7">
        <v>3875</v>
      </c>
      <c r="EE10" s="7">
        <v>3957</v>
      </c>
      <c r="EF10" s="7">
        <v>4018</v>
      </c>
      <c r="EG10" s="7">
        <v>4143</v>
      </c>
      <c r="EH10" s="7">
        <v>4273</v>
      </c>
      <c r="EI10" s="7">
        <v>4392</v>
      </c>
      <c r="EJ10" s="7">
        <v>4509</v>
      </c>
      <c r="EK10" s="7">
        <v>4635</v>
      </c>
      <c r="EL10" s="7">
        <v>4769</v>
      </c>
      <c r="EM10" s="7">
        <v>4870</v>
      </c>
      <c r="EN10" s="7">
        <v>4960</v>
      </c>
      <c r="EO10" s="7">
        <v>5063</v>
      </c>
      <c r="EP10" s="7">
        <v>5156</v>
      </c>
      <c r="EQ10" s="7">
        <v>5201</v>
      </c>
      <c r="ER10" s="7">
        <v>5242</v>
      </c>
      <c r="ES10" s="7">
        <v>5362</v>
      </c>
      <c r="ET10" s="7">
        <v>5399</v>
      </c>
      <c r="EU10" s="7">
        <v>5498</v>
      </c>
      <c r="EV10" s="7">
        <v>5640</v>
      </c>
      <c r="EW10" s="7">
        <v>5717</v>
      </c>
      <c r="EX10" s="7">
        <v>5845</v>
      </c>
      <c r="EY10" s="7">
        <v>5980</v>
      </c>
      <c r="EZ10" s="7">
        <v>6105</v>
      </c>
      <c r="FA10" s="7">
        <v>6242</v>
      </c>
      <c r="FB10" s="7">
        <v>6477</v>
      </c>
      <c r="FC10" s="7">
        <v>6552</v>
      </c>
      <c r="FD10" s="7">
        <v>6630</v>
      </c>
      <c r="FE10" s="7">
        <v>6846</v>
      </c>
      <c r="FF10" s="7">
        <v>7088</v>
      </c>
      <c r="FG10" s="7">
        <v>7222</v>
      </c>
      <c r="FH10" s="7">
        <v>7366</v>
      </c>
      <c r="FI10" s="7">
        <v>7491</v>
      </c>
      <c r="FJ10" s="7">
        <v>7709</v>
      </c>
      <c r="FK10" s="7">
        <v>7888</v>
      </c>
      <c r="FL10" s="7">
        <v>7989</v>
      </c>
      <c r="FM10" s="7">
        <v>6686</v>
      </c>
      <c r="FN10" s="7">
        <v>7079</v>
      </c>
      <c r="FO10" s="7">
        <v>7283</v>
      </c>
      <c r="FP10" s="7">
        <v>8646</v>
      </c>
      <c r="FQ10" s="7">
        <v>8827</v>
      </c>
      <c r="FR10" s="7">
        <v>9227</v>
      </c>
      <c r="FS10" s="7">
        <v>9439</v>
      </c>
      <c r="FT10" s="7">
        <v>9583</v>
      </c>
      <c r="FU10" s="7">
        <v>9599</v>
      </c>
      <c r="FV10" s="7">
        <v>9673</v>
      </c>
      <c r="FW10" s="7">
        <v>9724</v>
      </c>
      <c r="FX10" s="7">
        <v>9960</v>
      </c>
      <c r="FY10" s="7">
        <v>10154</v>
      </c>
      <c r="FZ10" s="7">
        <v>10360</v>
      </c>
      <c r="GA10" s="7">
        <v>10539</v>
      </c>
      <c r="GB10" s="7">
        <v>10753</v>
      </c>
      <c r="GC10" s="7">
        <v>10988</v>
      </c>
      <c r="GD10" s="7">
        <v>10989</v>
      </c>
      <c r="GE10" s="7">
        <v>11272</v>
      </c>
      <c r="GF10" s="7">
        <v>11776</v>
      </c>
      <c r="GG10">
        <v>11949</v>
      </c>
      <c r="GH10">
        <v>12196</v>
      </c>
      <c r="GI10">
        <v>12779</v>
      </c>
      <c r="GJ10">
        <v>13061</v>
      </c>
      <c r="GK10">
        <v>13431</v>
      </c>
      <c r="GL10">
        <v>13758</v>
      </c>
      <c r="GM10">
        <v>13930</v>
      </c>
      <c r="GN10" s="73">
        <v>14186</v>
      </c>
      <c r="GO10" s="73">
        <v>14625</v>
      </c>
      <c r="GP10" s="73">
        <v>14846</v>
      </c>
      <c r="GQ10" s="73">
        <v>15027</v>
      </c>
      <c r="GR10" s="73">
        <v>15333</v>
      </c>
      <c r="GS10" s="73">
        <v>15500</v>
      </c>
      <c r="GT10" s="73">
        <v>15734</v>
      </c>
      <c r="GU10" s="73">
        <v>16057</v>
      </c>
      <c r="GV10" s="73">
        <v>16210</v>
      </c>
      <c r="GW10" s="73">
        <v>16630</v>
      </c>
      <c r="GX10" s="73">
        <v>16876</v>
      </c>
      <c r="GY10" s="73">
        <v>17168</v>
      </c>
    </row>
    <row r="11" spans="1:211" x14ac:dyDescent="0.25">
      <c r="A11" t="s">
        <v>11</v>
      </c>
      <c r="B11" s="8" t="s">
        <v>14</v>
      </c>
      <c r="C11" s="8" t="s">
        <v>15</v>
      </c>
      <c r="D11" s="9">
        <v>13</v>
      </c>
      <c r="E11" s="9">
        <v>13</v>
      </c>
      <c r="F11" s="9">
        <v>13</v>
      </c>
      <c r="G11" s="9">
        <v>13</v>
      </c>
      <c r="H11" s="9">
        <v>14</v>
      </c>
      <c r="I11" s="9">
        <v>14</v>
      </c>
      <c r="J11" s="9">
        <v>14</v>
      </c>
      <c r="K11" s="9">
        <v>14</v>
      </c>
      <c r="L11" s="9">
        <v>22</v>
      </c>
      <c r="M11" s="9">
        <v>24</v>
      </c>
      <c r="N11" s="9">
        <v>26</v>
      </c>
      <c r="O11" s="9">
        <v>26</v>
      </c>
      <c r="P11" s="9">
        <v>27</v>
      </c>
      <c r="Q11" s="9">
        <v>27</v>
      </c>
      <c r="R11" s="9">
        <v>27</v>
      </c>
      <c r="S11" s="9">
        <v>25</v>
      </c>
      <c r="T11" s="9">
        <v>26</v>
      </c>
      <c r="U11" s="9">
        <v>26</v>
      </c>
      <c r="V11" s="9">
        <v>28</v>
      </c>
      <c r="W11" s="9">
        <v>28</v>
      </c>
      <c r="X11" s="9">
        <v>30</v>
      </c>
      <c r="Y11" s="9">
        <v>30</v>
      </c>
      <c r="Z11" s="9">
        <v>30</v>
      </c>
      <c r="AA11" s="9">
        <v>30</v>
      </c>
      <c r="AB11" s="9">
        <v>28</v>
      </c>
      <c r="AC11" s="9">
        <v>30</v>
      </c>
      <c r="AD11" s="9">
        <v>29</v>
      </c>
      <c r="AE11" s="9">
        <v>31</v>
      </c>
      <c r="AF11" s="9">
        <v>31</v>
      </c>
      <c r="AG11" s="9">
        <v>30</v>
      </c>
      <c r="AH11" s="9">
        <v>29</v>
      </c>
      <c r="AI11" s="9">
        <v>28</v>
      </c>
      <c r="AJ11" s="9">
        <v>29</v>
      </c>
      <c r="AK11" s="9">
        <v>30</v>
      </c>
      <c r="AL11" s="9">
        <v>31</v>
      </c>
      <c r="AM11" s="9">
        <v>31</v>
      </c>
      <c r="AN11" s="9">
        <v>31</v>
      </c>
      <c r="AO11" s="9">
        <v>32</v>
      </c>
      <c r="AP11" s="9">
        <v>32</v>
      </c>
      <c r="AQ11" s="9">
        <v>32</v>
      </c>
      <c r="AR11" s="9">
        <v>32</v>
      </c>
      <c r="AS11" s="9">
        <v>32</v>
      </c>
      <c r="AT11" s="9">
        <v>32</v>
      </c>
      <c r="AU11" s="9">
        <v>32</v>
      </c>
      <c r="AV11" s="9">
        <v>32</v>
      </c>
      <c r="AW11" s="9">
        <v>32</v>
      </c>
      <c r="AX11" s="9">
        <v>32</v>
      </c>
      <c r="AY11" s="9">
        <v>31</v>
      </c>
      <c r="AZ11" s="9">
        <v>31</v>
      </c>
      <c r="BA11" s="9">
        <v>33</v>
      </c>
      <c r="BB11" s="9">
        <v>30</v>
      </c>
      <c r="BC11" s="9">
        <v>28</v>
      </c>
      <c r="BD11" s="9">
        <v>28</v>
      </c>
      <c r="BE11" s="9">
        <v>27</v>
      </c>
      <c r="BF11" s="9">
        <v>27</v>
      </c>
      <c r="BG11" s="9">
        <v>28</v>
      </c>
      <c r="BH11" s="9">
        <v>28</v>
      </c>
      <c r="BI11" s="9">
        <v>27</v>
      </c>
      <c r="BJ11" s="9">
        <v>27</v>
      </c>
      <c r="BK11" s="9">
        <v>26</v>
      </c>
      <c r="BL11" s="9">
        <v>66</v>
      </c>
      <c r="BM11" s="9">
        <v>68</v>
      </c>
      <c r="BN11" s="9">
        <v>67</v>
      </c>
      <c r="BO11" s="9">
        <v>72</v>
      </c>
      <c r="BP11" s="9">
        <v>73</v>
      </c>
      <c r="BQ11" s="9">
        <v>77</v>
      </c>
      <c r="BR11" s="9">
        <v>78</v>
      </c>
      <c r="BS11" s="9">
        <v>82</v>
      </c>
      <c r="BT11" s="9">
        <v>96</v>
      </c>
      <c r="BU11" s="9">
        <v>100</v>
      </c>
      <c r="BV11" s="9">
        <v>105</v>
      </c>
      <c r="BW11" s="9">
        <v>105</v>
      </c>
      <c r="BX11" s="9">
        <v>107</v>
      </c>
      <c r="BY11" s="9">
        <v>109</v>
      </c>
      <c r="BZ11" s="9">
        <v>110</v>
      </c>
      <c r="CA11" s="9">
        <v>112</v>
      </c>
      <c r="CB11" s="9">
        <v>115</v>
      </c>
      <c r="CC11" s="9">
        <v>115</v>
      </c>
      <c r="CD11" s="9">
        <v>123</v>
      </c>
      <c r="CE11" s="9">
        <v>124</v>
      </c>
      <c r="CF11" s="9">
        <v>127</v>
      </c>
      <c r="CG11" s="9">
        <v>128</v>
      </c>
      <c r="CH11" s="9">
        <v>145</v>
      </c>
      <c r="CI11" s="9">
        <v>151</v>
      </c>
      <c r="CJ11" s="9">
        <v>171</v>
      </c>
      <c r="CK11" s="9">
        <v>187</v>
      </c>
      <c r="CL11" s="9">
        <v>192</v>
      </c>
      <c r="CM11" s="9">
        <v>195</v>
      </c>
      <c r="CN11" s="9">
        <v>210</v>
      </c>
      <c r="CO11" s="9">
        <v>235</v>
      </c>
      <c r="CP11" s="9">
        <v>254</v>
      </c>
      <c r="CQ11" s="9">
        <v>266</v>
      </c>
      <c r="CR11" s="9">
        <v>291</v>
      </c>
      <c r="CS11" s="9">
        <v>304</v>
      </c>
      <c r="CT11" s="9">
        <v>334</v>
      </c>
      <c r="CU11" s="9">
        <v>350</v>
      </c>
      <c r="CV11" s="9">
        <v>383</v>
      </c>
      <c r="CW11" s="9">
        <v>401</v>
      </c>
      <c r="CX11" s="9">
        <v>424</v>
      </c>
      <c r="CY11" s="9">
        <v>441</v>
      </c>
      <c r="CZ11" s="9">
        <v>454</v>
      </c>
      <c r="DA11" s="9">
        <v>467</v>
      </c>
      <c r="DB11" s="9">
        <v>493</v>
      </c>
      <c r="DC11" s="9">
        <v>512</v>
      </c>
      <c r="DD11" s="9">
        <v>534</v>
      </c>
      <c r="DE11" s="9">
        <v>556</v>
      </c>
      <c r="DF11" s="9">
        <v>578</v>
      </c>
      <c r="DG11" s="9">
        <v>593</v>
      </c>
      <c r="DH11" s="9">
        <v>602</v>
      </c>
      <c r="DI11" s="9">
        <v>612</v>
      </c>
      <c r="DJ11" s="9">
        <v>625</v>
      </c>
      <c r="DK11" s="9">
        <v>629</v>
      </c>
      <c r="DL11" s="9">
        <v>623</v>
      </c>
      <c r="DM11" s="9">
        <v>626</v>
      </c>
      <c r="DN11" s="9">
        <v>627</v>
      </c>
      <c r="DO11" s="9">
        <v>635</v>
      </c>
      <c r="DP11" s="9">
        <v>633</v>
      </c>
      <c r="DQ11" s="9">
        <v>648</v>
      </c>
      <c r="DR11" s="9">
        <v>655</v>
      </c>
      <c r="DS11" s="9">
        <v>664</v>
      </c>
      <c r="DT11" s="9">
        <v>665</v>
      </c>
      <c r="DU11" s="9">
        <v>685</v>
      </c>
      <c r="DV11" s="9">
        <v>693</v>
      </c>
      <c r="DW11" s="9">
        <v>690</v>
      </c>
      <c r="DX11" s="9">
        <v>695</v>
      </c>
      <c r="DY11" s="9">
        <v>703</v>
      </c>
      <c r="DZ11" s="9">
        <v>721</v>
      </c>
      <c r="EA11" s="9">
        <v>719</v>
      </c>
      <c r="EB11" s="9">
        <v>734</v>
      </c>
      <c r="EC11" s="9">
        <v>742</v>
      </c>
      <c r="ED11" s="9">
        <v>744</v>
      </c>
      <c r="EE11" s="9">
        <v>762</v>
      </c>
      <c r="EF11" s="9">
        <v>770</v>
      </c>
      <c r="EG11" s="9">
        <v>789</v>
      </c>
      <c r="EH11" s="9">
        <v>800</v>
      </c>
      <c r="EI11" s="9">
        <v>797</v>
      </c>
      <c r="EJ11" s="9">
        <v>814</v>
      </c>
      <c r="EK11" s="9">
        <v>816</v>
      </c>
      <c r="EL11" s="9">
        <v>830</v>
      </c>
      <c r="EM11" s="9">
        <v>842</v>
      </c>
      <c r="EN11" s="9">
        <v>858</v>
      </c>
      <c r="EO11" s="9">
        <v>874</v>
      </c>
      <c r="EP11" s="9">
        <v>889</v>
      </c>
      <c r="EQ11" s="9">
        <v>912</v>
      </c>
      <c r="ER11" s="9">
        <v>917</v>
      </c>
      <c r="ES11" s="9">
        <v>931</v>
      </c>
      <c r="ET11" s="9">
        <v>939</v>
      </c>
      <c r="EU11" s="9">
        <v>950</v>
      </c>
      <c r="EV11" s="9">
        <v>973</v>
      </c>
      <c r="EW11" s="9">
        <v>990</v>
      </c>
      <c r="EX11" s="9">
        <v>992</v>
      </c>
      <c r="EY11" s="9">
        <v>998</v>
      </c>
      <c r="EZ11" s="9">
        <v>1005</v>
      </c>
      <c r="FA11" s="9">
        <v>1013</v>
      </c>
      <c r="FB11" s="9">
        <v>1032</v>
      </c>
      <c r="FC11" s="9">
        <v>1045</v>
      </c>
      <c r="FD11" s="9">
        <v>1052</v>
      </c>
      <c r="FE11" s="9">
        <v>1070</v>
      </c>
      <c r="FF11" s="9">
        <v>1078</v>
      </c>
      <c r="FG11" s="9">
        <v>1090</v>
      </c>
      <c r="FH11" s="9">
        <v>1094</v>
      </c>
      <c r="FI11" s="9">
        <v>1113</v>
      </c>
      <c r="FJ11" s="9">
        <v>1134</v>
      </c>
      <c r="FK11" s="9">
        <v>1143</v>
      </c>
      <c r="FL11" s="9">
        <v>1136</v>
      </c>
      <c r="FM11" s="9">
        <v>1097</v>
      </c>
      <c r="FN11" s="9">
        <v>1220</v>
      </c>
      <c r="FO11" s="9">
        <v>1238</v>
      </c>
      <c r="FP11" s="9">
        <v>1377</v>
      </c>
      <c r="FQ11" s="9">
        <v>1393</v>
      </c>
      <c r="FR11" s="9">
        <v>1421</v>
      </c>
      <c r="FS11" s="9">
        <v>1422</v>
      </c>
      <c r="FT11" s="9">
        <v>1425</v>
      </c>
      <c r="FU11" s="9">
        <v>1456</v>
      </c>
      <c r="FV11" s="9">
        <v>1467</v>
      </c>
      <c r="FW11" s="9">
        <v>1500</v>
      </c>
      <c r="FX11" s="9">
        <v>1521</v>
      </c>
      <c r="FY11" s="9">
        <v>1543</v>
      </c>
      <c r="FZ11" s="9">
        <v>1554</v>
      </c>
      <c r="GA11" s="9">
        <v>1588</v>
      </c>
      <c r="GB11" s="9">
        <v>1611</v>
      </c>
      <c r="GC11" s="9">
        <v>1627</v>
      </c>
      <c r="GD11" s="9">
        <v>1666</v>
      </c>
      <c r="GE11" s="9">
        <v>1689</v>
      </c>
      <c r="GF11">
        <v>1725</v>
      </c>
      <c r="GG11">
        <v>1771</v>
      </c>
      <c r="GH11">
        <v>1812</v>
      </c>
      <c r="GI11">
        <v>1849</v>
      </c>
      <c r="GJ11">
        <v>1888</v>
      </c>
      <c r="GK11">
        <v>1923</v>
      </c>
      <c r="GL11">
        <v>1961</v>
      </c>
      <c r="GM11">
        <v>2032</v>
      </c>
      <c r="GN11" s="74">
        <v>2078</v>
      </c>
      <c r="GO11" s="74">
        <v>2126</v>
      </c>
      <c r="GP11" s="74">
        <v>2165</v>
      </c>
      <c r="GQ11" s="74">
        <v>2231</v>
      </c>
      <c r="GR11" s="74">
        <v>2275</v>
      </c>
      <c r="GS11" s="74">
        <v>2321</v>
      </c>
      <c r="GT11" s="74">
        <v>2365</v>
      </c>
      <c r="GU11" s="74">
        <v>2424</v>
      </c>
      <c r="GV11" s="74">
        <v>2479</v>
      </c>
      <c r="GW11" s="74">
        <v>2522</v>
      </c>
      <c r="GX11" s="74">
        <v>2574</v>
      </c>
      <c r="GY11" s="74">
        <v>2625</v>
      </c>
    </row>
    <row r="12" spans="1:211" x14ac:dyDescent="0.25">
      <c r="A12" t="s">
        <v>54</v>
      </c>
      <c r="B12" s="29" t="s">
        <v>14</v>
      </c>
      <c r="C12" s="29" t="s">
        <v>15</v>
      </c>
      <c r="D12" s="30">
        <v>18</v>
      </c>
      <c r="E12" s="30">
        <v>18</v>
      </c>
      <c r="F12" s="30">
        <v>19</v>
      </c>
      <c r="G12" s="30">
        <v>19</v>
      </c>
      <c r="H12" s="30">
        <v>19</v>
      </c>
      <c r="I12" s="30">
        <v>19</v>
      </c>
      <c r="J12" s="30">
        <v>17</v>
      </c>
      <c r="K12" s="30">
        <v>17</v>
      </c>
      <c r="L12" s="30">
        <v>18</v>
      </c>
      <c r="M12" s="30">
        <v>18</v>
      </c>
      <c r="N12" s="30">
        <v>20</v>
      </c>
      <c r="O12" s="30">
        <v>21</v>
      </c>
      <c r="P12" s="30">
        <v>20</v>
      </c>
      <c r="Q12" s="30">
        <v>18</v>
      </c>
      <c r="R12" s="30">
        <v>19</v>
      </c>
      <c r="S12" s="30">
        <v>19</v>
      </c>
      <c r="T12" s="30">
        <v>19</v>
      </c>
      <c r="U12" s="30">
        <v>19</v>
      </c>
      <c r="V12" s="30">
        <v>19</v>
      </c>
      <c r="W12" s="30">
        <v>21</v>
      </c>
      <c r="X12" s="30">
        <v>21</v>
      </c>
      <c r="Y12" s="30">
        <v>21</v>
      </c>
      <c r="Z12" s="30">
        <v>21</v>
      </c>
      <c r="AA12" s="30">
        <v>21</v>
      </c>
      <c r="AB12" s="30">
        <v>21</v>
      </c>
      <c r="AC12" s="30">
        <v>21</v>
      </c>
      <c r="AD12" s="30">
        <v>21</v>
      </c>
      <c r="AE12" s="30">
        <v>20</v>
      </c>
      <c r="AF12" s="30">
        <v>20</v>
      </c>
      <c r="AG12" s="30">
        <v>20</v>
      </c>
      <c r="AH12" s="30">
        <v>22</v>
      </c>
      <c r="AI12" s="30">
        <v>22</v>
      </c>
      <c r="AJ12" s="30">
        <v>22</v>
      </c>
      <c r="AK12" s="30">
        <v>22</v>
      </c>
      <c r="AL12" s="30">
        <v>21</v>
      </c>
      <c r="AM12" s="30">
        <v>22</v>
      </c>
      <c r="AN12" s="30">
        <v>25</v>
      </c>
      <c r="AO12" s="30">
        <v>30</v>
      </c>
      <c r="AP12" s="30">
        <v>30</v>
      </c>
      <c r="AQ12" s="30">
        <v>31</v>
      </c>
      <c r="AR12" s="30">
        <v>32</v>
      </c>
      <c r="AS12" s="30">
        <v>31</v>
      </c>
      <c r="AT12" s="30">
        <v>30</v>
      </c>
      <c r="AU12" s="30">
        <v>31</v>
      </c>
      <c r="AV12" s="30">
        <v>31</v>
      </c>
      <c r="AW12" s="30">
        <v>31</v>
      </c>
      <c r="AX12" s="30">
        <v>31</v>
      </c>
      <c r="AY12" s="30">
        <v>32</v>
      </c>
      <c r="AZ12" s="30">
        <v>32</v>
      </c>
      <c r="BA12" s="30">
        <v>32</v>
      </c>
      <c r="BB12" s="30">
        <v>32</v>
      </c>
      <c r="BC12" s="30">
        <v>32</v>
      </c>
      <c r="BD12" s="30">
        <v>31</v>
      </c>
      <c r="BE12" s="30">
        <v>30</v>
      </c>
      <c r="BF12" s="30">
        <v>30</v>
      </c>
      <c r="BG12" s="30">
        <v>28</v>
      </c>
      <c r="BH12" s="30">
        <v>28</v>
      </c>
      <c r="BI12" s="30">
        <v>28</v>
      </c>
      <c r="BJ12" s="30">
        <v>27</v>
      </c>
      <c r="BK12" s="30">
        <v>27</v>
      </c>
      <c r="BL12" s="30">
        <v>42</v>
      </c>
      <c r="BM12" s="30">
        <v>40</v>
      </c>
      <c r="BN12" s="30">
        <v>40</v>
      </c>
      <c r="BO12" s="30">
        <v>39</v>
      </c>
      <c r="BP12" s="30">
        <v>39</v>
      </c>
      <c r="BQ12" s="30">
        <v>40</v>
      </c>
      <c r="BR12" s="30">
        <v>40</v>
      </c>
      <c r="BS12" s="30">
        <v>40</v>
      </c>
      <c r="BT12" s="30">
        <v>40</v>
      </c>
      <c r="BU12" s="30">
        <v>43</v>
      </c>
      <c r="BV12" s="30">
        <v>44</v>
      </c>
      <c r="BW12" s="30">
        <v>43</v>
      </c>
      <c r="BX12" s="30">
        <v>41</v>
      </c>
      <c r="BY12" s="30">
        <v>49</v>
      </c>
      <c r="BZ12" s="30">
        <v>50</v>
      </c>
      <c r="CA12" s="30">
        <v>52</v>
      </c>
      <c r="CB12" s="30">
        <v>55</v>
      </c>
      <c r="CC12" s="30">
        <v>57</v>
      </c>
      <c r="CD12" s="30">
        <v>64</v>
      </c>
      <c r="CE12" s="30">
        <v>70</v>
      </c>
      <c r="CF12" s="30">
        <v>72</v>
      </c>
      <c r="CG12" s="30">
        <v>76</v>
      </c>
      <c r="CH12" s="30">
        <v>79</v>
      </c>
      <c r="CI12" s="30">
        <v>83</v>
      </c>
      <c r="CJ12" s="30">
        <v>86</v>
      </c>
      <c r="CK12" s="30">
        <v>88</v>
      </c>
      <c r="CL12" s="30">
        <v>88</v>
      </c>
      <c r="CM12" s="30">
        <v>89</v>
      </c>
      <c r="CN12" s="30">
        <v>90</v>
      </c>
      <c r="CO12" s="30">
        <v>92</v>
      </c>
      <c r="CP12" s="30">
        <v>97</v>
      </c>
      <c r="CQ12" s="30">
        <v>93</v>
      </c>
      <c r="CR12" s="30">
        <v>95</v>
      </c>
      <c r="CS12" s="30">
        <v>99</v>
      </c>
      <c r="CT12" s="30">
        <v>100</v>
      </c>
      <c r="CU12" s="30">
        <v>103</v>
      </c>
      <c r="CV12" s="30">
        <v>108</v>
      </c>
      <c r="CW12" s="30">
        <v>112</v>
      </c>
      <c r="CX12" s="30">
        <v>114</v>
      </c>
      <c r="CY12" s="30">
        <v>118</v>
      </c>
      <c r="CZ12" s="30">
        <v>124</v>
      </c>
      <c r="DA12" s="30">
        <v>129</v>
      </c>
      <c r="DB12" s="30">
        <v>133</v>
      </c>
      <c r="DC12" s="30">
        <v>137</v>
      </c>
      <c r="DD12" s="30">
        <v>147</v>
      </c>
      <c r="DE12" s="30">
        <v>148</v>
      </c>
      <c r="DF12" s="30">
        <v>149</v>
      </c>
      <c r="DG12" s="30">
        <v>152</v>
      </c>
      <c r="DH12" s="30">
        <v>153</v>
      </c>
      <c r="DI12" s="30">
        <v>155</v>
      </c>
      <c r="DJ12" s="30">
        <v>158</v>
      </c>
      <c r="DK12" s="30">
        <v>160</v>
      </c>
      <c r="DL12" s="30">
        <v>164</v>
      </c>
      <c r="DM12" s="30">
        <v>166</v>
      </c>
      <c r="DN12" s="30">
        <v>166</v>
      </c>
      <c r="DO12" s="30">
        <v>166</v>
      </c>
      <c r="DP12" s="30">
        <v>164</v>
      </c>
      <c r="DQ12" s="30">
        <v>167</v>
      </c>
      <c r="DR12" s="30">
        <v>172</v>
      </c>
      <c r="DS12" s="30">
        <v>176</v>
      </c>
      <c r="DT12" s="30">
        <v>183</v>
      </c>
      <c r="DU12" s="30">
        <v>193</v>
      </c>
      <c r="DV12" s="30">
        <v>195</v>
      </c>
      <c r="DW12" s="30">
        <v>195</v>
      </c>
      <c r="DX12" s="30">
        <v>203</v>
      </c>
      <c r="DY12" s="30">
        <v>201</v>
      </c>
      <c r="DZ12" s="30">
        <v>207</v>
      </c>
      <c r="EA12" s="30">
        <v>209</v>
      </c>
      <c r="EB12" s="30">
        <v>214</v>
      </c>
      <c r="EC12" s="30">
        <v>221</v>
      </c>
      <c r="ED12" s="30">
        <v>228</v>
      </c>
      <c r="EE12" s="30">
        <v>241</v>
      </c>
      <c r="EF12" s="30">
        <v>244</v>
      </c>
      <c r="EG12" s="30">
        <v>248</v>
      </c>
      <c r="EH12" s="30">
        <v>250</v>
      </c>
      <c r="EI12" s="30">
        <v>261</v>
      </c>
      <c r="EJ12" s="30">
        <v>269</v>
      </c>
      <c r="EK12" s="30">
        <v>280</v>
      </c>
      <c r="EL12" s="30">
        <v>288</v>
      </c>
      <c r="EM12" s="30">
        <v>298</v>
      </c>
      <c r="EN12" s="30">
        <v>316</v>
      </c>
      <c r="EO12" s="30">
        <v>330</v>
      </c>
      <c r="EP12" s="30">
        <v>339</v>
      </c>
      <c r="EQ12" s="30">
        <v>350</v>
      </c>
      <c r="ER12" s="30">
        <v>359</v>
      </c>
      <c r="ES12" s="30">
        <v>361</v>
      </c>
      <c r="ET12" s="30">
        <v>359</v>
      </c>
      <c r="EU12" s="30">
        <v>367</v>
      </c>
      <c r="EV12" s="30">
        <v>376</v>
      </c>
      <c r="EW12" s="30">
        <v>386</v>
      </c>
      <c r="EX12" s="30">
        <v>395</v>
      </c>
      <c r="EY12" s="30">
        <v>406</v>
      </c>
      <c r="EZ12" s="30">
        <v>417</v>
      </c>
      <c r="FA12" s="30">
        <v>424</v>
      </c>
      <c r="FB12" s="30">
        <v>435</v>
      </c>
      <c r="FC12" s="30">
        <v>455</v>
      </c>
      <c r="FD12" s="30">
        <v>464</v>
      </c>
      <c r="FE12" s="30">
        <v>479</v>
      </c>
      <c r="FF12" s="30">
        <v>489</v>
      </c>
      <c r="FG12" s="30">
        <v>506</v>
      </c>
      <c r="FH12" s="30">
        <v>514</v>
      </c>
      <c r="FI12" s="30">
        <v>532</v>
      </c>
      <c r="FJ12" s="30">
        <v>543</v>
      </c>
      <c r="FK12" s="30">
        <v>561</v>
      </c>
      <c r="FL12" s="30">
        <v>562</v>
      </c>
      <c r="FM12" s="30">
        <v>473</v>
      </c>
      <c r="FN12" s="30">
        <v>587</v>
      </c>
      <c r="FO12" s="30">
        <v>604</v>
      </c>
      <c r="FP12" s="30">
        <v>716</v>
      </c>
      <c r="FQ12" s="30">
        <v>741</v>
      </c>
      <c r="FR12" s="30">
        <v>759</v>
      </c>
      <c r="FS12" s="30">
        <v>773</v>
      </c>
      <c r="FT12" s="30">
        <v>777</v>
      </c>
      <c r="FU12" s="30">
        <v>786</v>
      </c>
      <c r="FV12" s="30">
        <v>800</v>
      </c>
      <c r="FW12" s="30">
        <v>829</v>
      </c>
      <c r="FX12" s="30">
        <v>862</v>
      </c>
      <c r="FY12" s="30">
        <v>878</v>
      </c>
      <c r="FZ12" s="30">
        <v>887</v>
      </c>
      <c r="GA12" s="30">
        <v>900</v>
      </c>
      <c r="GB12" s="30">
        <v>919</v>
      </c>
      <c r="GC12" s="30">
        <v>939</v>
      </c>
      <c r="GD12" s="30">
        <v>948</v>
      </c>
      <c r="GE12" s="30">
        <v>985</v>
      </c>
      <c r="GF12">
        <v>1015</v>
      </c>
      <c r="GG12">
        <v>1042</v>
      </c>
      <c r="GH12">
        <v>1081</v>
      </c>
      <c r="GI12">
        <v>1108</v>
      </c>
      <c r="GJ12">
        <v>1144</v>
      </c>
      <c r="GK12">
        <v>1178</v>
      </c>
      <c r="GL12">
        <v>1215</v>
      </c>
      <c r="GM12">
        <v>1243</v>
      </c>
      <c r="GN12" s="76">
        <v>1272</v>
      </c>
      <c r="GO12" s="76">
        <v>1317</v>
      </c>
      <c r="GP12" s="76">
        <v>1356</v>
      </c>
      <c r="GQ12" s="76">
        <v>1390</v>
      </c>
      <c r="GR12" s="76">
        <v>1446</v>
      </c>
      <c r="GS12" s="76">
        <v>1488</v>
      </c>
      <c r="GT12" s="76">
        <v>1522</v>
      </c>
      <c r="GU12" s="76">
        <v>1575</v>
      </c>
      <c r="GV12" s="76">
        <v>1648</v>
      </c>
      <c r="GW12" s="76">
        <v>1695</v>
      </c>
      <c r="GX12" s="76">
        <v>1737</v>
      </c>
      <c r="GY12" s="76">
        <v>1783</v>
      </c>
    </row>
    <row r="13" spans="1:211" x14ac:dyDescent="0.25">
      <c r="A13" t="s">
        <v>50</v>
      </c>
      <c r="B13" t="s">
        <v>33</v>
      </c>
      <c r="C13" s="29" t="s">
        <v>33</v>
      </c>
      <c r="D13" s="29" t="s">
        <v>33</v>
      </c>
      <c r="E13" s="29" t="s">
        <v>33</v>
      </c>
      <c r="F13" s="29" t="s">
        <v>33</v>
      </c>
      <c r="G13" s="29" t="s">
        <v>33</v>
      </c>
      <c r="H13" s="29" t="s">
        <v>33</v>
      </c>
      <c r="I13" s="29" t="s">
        <v>33</v>
      </c>
      <c r="J13" s="29" t="s">
        <v>33</v>
      </c>
      <c r="K13" s="29" t="s">
        <v>33</v>
      </c>
      <c r="L13" s="29" t="s">
        <v>33</v>
      </c>
      <c r="M13" s="29" t="s">
        <v>33</v>
      </c>
      <c r="N13" s="29" t="s">
        <v>33</v>
      </c>
      <c r="O13" s="29" t="s">
        <v>33</v>
      </c>
      <c r="P13" s="29" t="s">
        <v>33</v>
      </c>
      <c r="Q13" s="29" t="s">
        <v>33</v>
      </c>
      <c r="R13" s="29" t="s">
        <v>33</v>
      </c>
      <c r="S13" s="29" t="s">
        <v>33</v>
      </c>
      <c r="T13" s="29" t="s">
        <v>33</v>
      </c>
      <c r="U13" s="29" t="s">
        <v>33</v>
      </c>
      <c r="V13" s="29" t="s">
        <v>33</v>
      </c>
      <c r="W13" s="29" t="s">
        <v>33</v>
      </c>
      <c r="X13" s="29" t="s">
        <v>33</v>
      </c>
      <c r="Y13" s="29" t="s">
        <v>33</v>
      </c>
      <c r="Z13" s="29" t="s">
        <v>33</v>
      </c>
      <c r="AA13" s="29" t="s">
        <v>33</v>
      </c>
      <c r="AB13" s="29" t="s">
        <v>33</v>
      </c>
      <c r="AC13" s="29" t="s">
        <v>33</v>
      </c>
      <c r="AD13" s="29" t="s">
        <v>33</v>
      </c>
      <c r="AE13" s="29" t="s">
        <v>33</v>
      </c>
      <c r="AF13" s="29" t="s">
        <v>33</v>
      </c>
      <c r="AG13" s="29" t="s">
        <v>33</v>
      </c>
      <c r="AH13" s="29" t="s">
        <v>33</v>
      </c>
      <c r="AI13" s="29" t="s">
        <v>33</v>
      </c>
      <c r="AJ13" s="29" t="s">
        <v>33</v>
      </c>
      <c r="AK13" s="29" t="s">
        <v>33</v>
      </c>
      <c r="AL13" s="29" t="s">
        <v>33</v>
      </c>
      <c r="AM13" s="29" t="s">
        <v>33</v>
      </c>
      <c r="AN13" s="29" t="s">
        <v>33</v>
      </c>
      <c r="AO13" s="29" t="s">
        <v>33</v>
      </c>
      <c r="AP13" s="29" t="s">
        <v>33</v>
      </c>
      <c r="AQ13" s="29" t="s">
        <v>33</v>
      </c>
      <c r="AR13" s="29" t="s">
        <v>33</v>
      </c>
      <c r="AS13" s="29" t="s">
        <v>33</v>
      </c>
      <c r="AT13" s="29" t="s">
        <v>33</v>
      </c>
      <c r="AU13" s="29" t="s">
        <v>33</v>
      </c>
      <c r="AV13" s="29" t="s">
        <v>33</v>
      </c>
      <c r="AW13" s="29" t="s">
        <v>33</v>
      </c>
      <c r="AX13" s="29" t="s">
        <v>33</v>
      </c>
      <c r="AY13" s="29" t="s">
        <v>33</v>
      </c>
      <c r="AZ13" s="29" t="s">
        <v>33</v>
      </c>
      <c r="BA13" s="29" t="s">
        <v>33</v>
      </c>
      <c r="BB13" s="29" t="s">
        <v>33</v>
      </c>
      <c r="BC13" s="29" t="s">
        <v>33</v>
      </c>
      <c r="BD13" s="29" t="s">
        <v>33</v>
      </c>
      <c r="BE13" s="29" t="s">
        <v>33</v>
      </c>
      <c r="BF13" s="29" t="s">
        <v>33</v>
      </c>
      <c r="BG13" s="29" t="s">
        <v>33</v>
      </c>
      <c r="BH13" s="29" t="s">
        <v>33</v>
      </c>
      <c r="BI13" s="29" t="s">
        <v>33</v>
      </c>
      <c r="BJ13" s="29" t="s">
        <v>33</v>
      </c>
      <c r="BK13" s="29" t="s">
        <v>33</v>
      </c>
      <c r="BL13" s="29" t="s">
        <v>33</v>
      </c>
      <c r="BM13" s="29" t="s">
        <v>33</v>
      </c>
      <c r="BN13" s="29" t="s">
        <v>33</v>
      </c>
      <c r="BO13" s="29" t="s">
        <v>33</v>
      </c>
      <c r="BP13" s="29" t="s">
        <v>33</v>
      </c>
      <c r="BQ13" s="29" t="s">
        <v>33</v>
      </c>
      <c r="BR13" s="29" t="s">
        <v>33</v>
      </c>
      <c r="BS13" s="29" t="s">
        <v>33</v>
      </c>
      <c r="BT13" s="29" t="s">
        <v>33</v>
      </c>
      <c r="BU13" s="29" t="s">
        <v>33</v>
      </c>
      <c r="BV13" s="29" t="s">
        <v>33</v>
      </c>
      <c r="BW13" s="29" t="s">
        <v>33</v>
      </c>
      <c r="BX13" s="29" t="s">
        <v>33</v>
      </c>
      <c r="BY13" s="29" t="s">
        <v>33</v>
      </c>
      <c r="BZ13" s="29" t="s">
        <v>33</v>
      </c>
      <c r="CA13" s="29" t="s">
        <v>33</v>
      </c>
      <c r="CB13" s="29" t="s">
        <v>33</v>
      </c>
      <c r="CC13" s="29" t="s">
        <v>33</v>
      </c>
      <c r="CD13" s="29" t="s">
        <v>33</v>
      </c>
      <c r="CE13" s="29" t="s">
        <v>33</v>
      </c>
      <c r="CF13" s="29" t="s">
        <v>33</v>
      </c>
      <c r="CG13" s="29" t="s">
        <v>33</v>
      </c>
      <c r="CH13" s="29" t="s">
        <v>33</v>
      </c>
      <c r="CI13" s="29" t="s">
        <v>33</v>
      </c>
      <c r="CJ13" s="29" t="s">
        <v>33</v>
      </c>
      <c r="CK13" s="29" t="s">
        <v>33</v>
      </c>
      <c r="CL13" s="29" t="s">
        <v>33</v>
      </c>
      <c r="CM13" s="29" t="s">
        <v>33</v>
      </c>
      <c r="CN13" s="29" t="s">
        <v>33</v>
      </c>
      <c r="CO13" s="29" t="s">
        <v>33</v>
      </c>
      <c r="CP13" s="29" t="s">
        <v>33</v>
      </c>
      <c r="CQ13" s="29" t="s">
        <v>33</v>
      </c>
      <c r="CR13" s="29" t="s">
        <v>33</v>
      </c>
      <c r="CS13" s="29" t="s">
        <v>33</v>
      </c>
      <c r="CT13" s="29" t="s">
        <v>33</v>
      </c>
      <c r="CU13" s="29" t="s">
        <v>33</v>
      </c>
      <c r="CV13" s="29" t="s">
        <v>33</v>
      </c>
      <c r="CW13" s="29" t="s">
        <v>33</v>
      </c>
      <c r="CX13" s="29" t="s">
        <v>33</v>
      </c>
      <c r="CY13" s="29" t="s">
        <v>33</v>
      </c>
      <c r="CZ13" s="29" t="s">
        <v>33</v>
      </c>
      <c r="DA13" s="29" t="s">
        <v>33</v>
      </c>
      <c r="DB13" s="29" t="s">
        <v>33</v>
      </c>
      <c r="DC13" s="29" t="s">
        <v>33</v>
      </c>
      <c r="DD13" s="29" t="s">
        <v>33</v>
      </c>
      <c r="DE13" s="29" t="s">
        <v>33</v>
      </c>
      <c r="DF13" s="29" t="s">
        <v>33</v>
      </c>
      <c r="DG13" s="29" t="s">
        <v>33</v>
      </c>
      <c r="DH13" s="29" t="s">
        <v>33</v>
      </c>
      <c r="DI13" s="29" t="s">
        <v>33</v>
      </c>
      <c r="DJ13" s="29" t="s">
        <v>33</v>
      </c>
      <c r="DK13" s="29" t="s">
        <v>33</v>
      </c>
      <c r="DL13" s="29" t="s">
        <v>33</v>
      </c>
      <c r="DM13" s="29" t="s">
        <v>33</v>
      </c>
      <c r="DN13" s="29" t="s">
        <v>33</v>
      </c>
      <c r="DO13" s="29" t="s">
        <v>33</v>
      </c>
      <c r="DP13" s="29" t="s">
        <v>33</v>
      </c>
      <c r="DQ13" s="29" t="s">
        <v>33</v>
      </c>
      <c r="DR13" s="29" t="s">
        <v>33</v>
      </c>
      <c r="DS13" s="29" t="s">
        <v>33</v>
      </c>
      <c r="DT13" s="29" t="s">
        <v>33</v>
      </c>
      <c r="DU13" s="29" t="s">
        <v>33</v>
      </c>
      <c r="DV13" s="29" t="s">
        <v>33</v>
      </c>
      <c r="DW13" s="29" t="s">
        <v>33</v>
      </c>
      <c r="DX13" s="29" t="s">
        <v>33</v>
      </c>
      <c r="DY13" s="29" t="s">
        <v>33</v>
      </c>
      <c r="DZ13" s="29" t="s">
        <v>33</v>
      </c>
      <c r="EA13" s="29" t="s">
        <v>33</v>
      </c>
      <c r="EB13" s="29" t="s">
        <v>33</v>
      </c>
      <c r="EC13" s="29" t="s">
        <v>33</v>
      </c>
      <c r="ED13" s="29" t="s">
        <v>33</v>
      </c>
      <c r="EE13" s="29" t="s">
        <v>33</v>
      </c>
      <c r="EF13" s="29" t="s">
        <v>33</v>
      </c>
      <c r="EG13" s="29" t="s">
        <v>33</v>
      </c>
      <c r="EH13" s="29" t="s">
        <v>33</v>
      </c>
      <c r="EI13" s="29" t="s">
        <v>33</v>
      </c>
      <c r="EJ13" s="29" t="s">
        <v>33</v>
      </c>
      <c r="EK13" s="29" t="s">
        <v>33</v>
      </c>
      <c r="EL13" s="29" t="s">
        <v>33</v>
      </c>
      <c r="EM13" s="29" t="s">
        <v>33</v>
      </c>
      <c r="EN13" s="29" t="s">
        <v>33</v>
      </c>
      <c r="EO13" s="29" t="s">
        <v>33</v>
      </c>
      <c r="EP13" s="29" t="s">
        <v>33</v>
      </c>
      <c r="EQ13" s="29" t="s">
        <v>33</v>
      </c>
      <c r="ER13" s="29" t="s">
        <v>33</v>
      </c>
      <c r="ES13" s="29" t="s">
        <v>33</v>
      </c>
      <c r="ET13" s="29" t="s">
        <v>33</v>
      </c>
      <c r="EU13" s="29" t="s">
        <v>33</v>
      </c>
      <c r="EV13" s="29" t="s">
        <v>33</v>
      </c>
      <c r="EW13" s="29" t="s">
        <v>33</v>
      </c>
      <c r="EX13" s="29" t="s">
        <v>33</v>
      </c>
      <c r="EY13" s="29" t="s">
        <v>33</v>
      </c>
      <c r="EZ13" s="29" t="s">
        <v>33</v>
      </c>
      <c r="FA13" s="29" t="s">
        <v>33</v>
      </c>
      <c r="FB13" s="29" t="s">
        <v>33</v>
      </c>
      <c r="FC13" s="29" t="s">
        <v>33</v>
      </c>
      <c r="FD13" s="29" t="s">
        <v>33</v>
      </c>
      <c r="FE13" s="29" t="s">
        <v>33</v>
      </c>
      <c r="FF13" s="29" t="s">
        <v>33</v>
      </c>
      <c r="FG13" s="29" t="s">
        <v>33</v>
      </c>
      <c r="FH13" s="29" t="s">
        <v>33</v>
      </c>
      <c r="FI13" s="29" t="s">
        <v>33</v>
      </c>
      <c r="FJ13" s="29" t="s">
        <v>33</v>
      </c>
      <c r="FK13" s="29" t="s">
        <v>33</v>
      </c>
      <c r="FL13" s="29" t="s">
        <v>33</v>
      </c>
      <c r="FM13" s="29" t="s">
        <v>33</v>
      </c>
      <c r="FN13" s="29" t="s">
        <v>33</v>
      </c>
      <c r="FO13" s="29" t="s">
        <v>33</v>
      </c>
      <c r="FP13" s="29" t="s">
        <v>33</v>
      </c>
      <c r="FQ13" s="29" t="s">
        <v>33</v>
      </c>
      <c r="FR13" s="29" t="s">
        <v>33</v>
      </c>
      <c r="FS13" s="29" t="s">
        <v>33</v>
      </c>
      <c r="FT13" s="29" t="s">
        <v>33</v>
      </c>
      <c r="FU13" s="29" t="s">
        <v>33</v>
      </c>
      <c r="FV13" s="29" t="s">
        <v>33</v>
      </c>
      <c r="FW13" s="29" t="s">
        <v>33</v>
      </c>
      <c r="FX13" s="29" t="s">
        <v>33</v>
      </c>
      <c r="FY13" s="29" t="s">
        <v>33</v>
      </c>
      <c r="FZ13" s="29" t="s">
        <v>33</v>
      </c>
      <c r="GA13" s="29" t="s">
        <v>33</v>
      </c>
      <c r="GB13" s="29" t="s">
        <v>33</v>
      </c>
      <c r="GC13" s="29" t="s">
        <v>33</v>
      </c>
      <c r="GD13" s="29" t="s">
        <v>33</v>
      </c>
      <c r="GE13" s="29" t="s">
        <v>33</v>
      </c>
      <c r="GF13" s="29" t="s">
        <v>33</v>
      </c>
      <c r="GG13" s="29" t="s">
        <v>33</v>
      </c>
      <c r="GH13" s="29" t="s">
        <v>33</v>
      </c>
      <c r="GI13" s="29" t="s">
        <v>33</v>
      </c>
      <c r="GJ13" s="29" t="s">
        <v>33</v>
      </c>
      <c r="GK13" s="29" t="s">
        <v>33</v>
      </c>
      <c r="GL13" s="29" t="s">
        <v>33</v>
      </c>
      <c r="GM13" s="29" t="s">
        <v>33</v>
      </c>
      <c r="GN13" s="75" t="s">
        <v>33</v>
      </c>
      <c r="GO13" s="75" t="s">
        <v>33</v>
      </c>
      <c r="GP13" s="75" t="s">
        <v>33</v>
      </c>
      <c r="GQ13" s="75" t="s">
        <v>33</v>
      </c>
      <c r="GR13" s="75" t="s">
        <v>33</v>
      </c>
      <c r="GS13" s="75" t="s">
        <v>33</v>
      </c>
      <c r="GT13" s="75" t="s">
        <v>33</v>
      </c>
      <c r="GU13" s="75" t="s">
        <v>33</v>
      </c>
      <c r="GV13" s="75" t="s">
        <v>33</v>
      </c>
      <c r="GW13" s="75" t="s">
        <v>33</v>
      </c>
      <c r="GX13" s="75" t="s">
        <v>33</v>
      </c>
      <c r="GY13" s="75" t="s">
        <v>33</v>
      </c>
    </row>
    <row r="14" spans="1:211" x14ac:dyDescent="0.25">
      <c r="A14" t="s">
        <v>52</v>
      </c>
      <c r="B14" t="s">
        <v>33</v>
      </c>
      <c r="C14" s="29" t="s">
        <v>33</v>
      </c>
      <c r="D14" s="29" t="s">
        <v>33</v>
      </c>
      <c r="E14" s="29" t="s">
        <v>33</v>
      </c>
      <c r="F14" s="29" t="s">
        <v>33</v>
      </c>
      <c r="G14" s="29" t="s">
        <v>33</v>
      </c>
      <c r="H14" s="29" t="s">
        <v>33</v>
      </c>
      <c r="I14" s="29" t="s">
        <v>33</v>
      </c>
      <c r="J14" s="29" t="s">
        <v>33</v>
      </c>
      <c r="K14" s="29" t="s">
        <v>33</v>
      </c>
      <c r="L14" s="29" t="s">
        <v>33</v>
      </c>
      <c r="M14" s="29" t="s">
        <v>33</v>
      </c>
      <c r="N14" s="29" t="s">
        <v>33</v>
      </c>
      <c r="O14" s="29" t="s">
        <v>33</v>
      </c>
      <c r="P14" s="29" t="s">
        <v>33</v>
      </c>
      <c r="Q14" s="29" t="s">
        <v>33</v>
      </c>
      <c r="R14" s="29" t="s">
        <v>33</v>
      </c>
      <c r="S14" s="29" t="s">
        <v>33</v>
      </c>
      <c r="T14" s="29" t="s">
        <v>33</v>
      </c>
      <c r="U14" s="29" t="s">
        <v>33</v>
      </c>
      <c r="V14" s="29" t="s">
        <v>33</v>
      </c>
      <c r="W14" s="29" t="s">
        <v>33</v>
      </c>
      <c r="X14" s="29" t="s">
        <v>33</v>
      </c>
      <c r="Y14" s="29" t="s">
        <v>33</v>
      </c>
      <c r="Z14" s="29" t="s">
        <v>33</v>
      </c>
      <c r="AA14" s="29" t="s">
        <v>33</v>
      </c>
      <c r="AB14" s="29" t="s">
        <v>33</v>
      </c>
      <c r="AC14" s="29" t="s">
        <v>33</v>
      </c>
      <c r="AD14" s="29" t="s">
        <v>33</v>
      </c>
      <c r="AE14" s="29" t="s">
        <v>33</v>
      </c>
      <c r="AF14" s="29" t="s">
        <v>33</v>
      </c>
      <c r="AG14" s="29" t="s">
        <v>33</v>
      </c>
      <c r="AH14" s="29" t="s">
        <v>33</v>
      </c>
      <c r="AI14" s="29" t="s">
        <v>33</v>
      </c>
      <c r="AJ14" s="29" t="s">
        <v>33</v>
      </c>
      <c r="AK14" s="29" t="s">
        <v>33</v>
      </c>
      <c r="AL14" s="29" t="s">
        <v>33</v>
      </c>
      <c r="AM14" s="29" t="s">
        <v>33</v>
      </c>
      <c r="AN14" s="29" t="s">
        <v>33</v>
      </c>
      <c r="AO14" s="29" t="s">
        <v>33</v>
      </c>
      <c r="AP14" s="29" t="s">
        <v>33</v>
      </c>
      <c r="AQ14" s="29" t="s">
        <v>33</v>
      </c>
      <c r="AR14" s="29" t="s">
        <v>33</v>
      </c>
      <c r="AS14" s="29" t="s">
        <v>33</v>
      </c>
      <c r="AT14" s="29" t="s">
        <v>33</v>
      </c>
      <c r="AU14" s="29" t="s">
        <v>33</v>
      </c>
      <c r="AV14" s="29" t="s">
        <v>33</v>
      </c>
      <c r="AW14" s="29" t="s">
        <v>33</v>
      </c>
      <c r="AX14" s="29" t="s">
        <v>33</v>
      </c>
      <c r="AY14" s="29" t="s">
        <v>33</v>
      </c>
      <c r="AZ14" s="29" t="s">
        <v>33</v>
      </c>
      <c r="BA14" s="29" t="s">
        <v>33</v>
      </c>
      <c r="BB14" s="29" t="s">
        <v>33</v>
      </c>
      <c r="BC14" s="29" t="s">
        <v>33</v>
      </c>
      <c r="BD14" s="29" t="s">
        <v>33</v>
      </c>
      <c r="BE14" s="29" t="s">
        <v>33</v>
      </c>
      <c r="BF14" s="29" t="s">
        <v>33</v>
      </c>
      <c r="BG14" s="29" t="s">
        <v>33</v>
      </c>
      <c r="BH14" s="29" t="s">
        <v>33</v>
      </c>
      <c r="BI14" s="29" t="s">
        <v>33</v>
      </c>
      <c r="BJ14" s="29" t="s">
        <v>33</v>
      </c>
      <c r="BK14" s="29" t="s">
        <v>33</v>
      </c>
      <c r="BL14" s="29" t="s">
        <v>33</v>
      </c>
      <c r="BM14" s="29" t="s">
        <v>33</v>
      </c>
      <c r="BN14" s="29" t="s">
        <v>33</v>
      </c>
      <c r="BO14" s="29" t="s">
        <v>33</v>
      </c>
      <c r="BP14" s="29" t="s">
        <v>33</v>
      </c>
      <c r="BQ14" s="29" t="s">
        <v>33</v>
      </c>
      <c r="BR14" s="29" t="s">
        <v>33</v>
      </c>
      <c r="BS14" s="29" t="s">
        <v>33</v>
      </c>
      <c r="BT14" s="29" t="s">
        <v>33</v>
      </c>
      <c r="BU14" s="29" t="s">
        <v>33</v>
      </c>
      <c r="BV14" s="29" t="s">
        <v>33</v>
      </c>
      <c r="BW14" s="29" t="s">
        <v>33</v>
      </c>
      <c r="BX14" s="29" t="s">
        <v>33</v>
      </c>
      <c r="BY14" s="29" t="s">
        <v>33</v>
      </c>
      <c r="BZ14" s="29" t="s">
        <v>33</v>
      </c>
      <c r="CA14" s="29" t="s">
        <v>33</v>
      </c>
      <c r="CB14" s="29" t="s">
        <v>33</v>
      </c>
      <c r="CC14" s="29" t="s">
        <v>33</v>
      </c>
      <c r="CD14" s="29" t="s">
        <v>33</v>
      </c>
      <c r="CE14" s="29" t="s">
        <v>33</v>
      </c>
      <c r="CF14" s="29" t="s">
        <v>33</v>
      </c>
      <c r="CG14" s="29" t="s">
        <v>33</v>
      </c>
      <c r="CH14" s="29" t="s">
        <v>33</v>
      </c>
      <c r="CI14" s="29" t="s">
        <v>33</v>
      </c>
      <c r="CJ14" s="29" t="s">
        <v>33</v>
      </c>
      <c r="CK14" s="29" t="s">
        <v>33</v>
      </c>
      <c r="CL14" s="29" t="s">
        <v>33</v>
      </c>
      <c r="CM14" s="29" t="s">
        <v>33</v>
      </c>
      <c r="CN14" s="29" t="s">
        <v>33</v>
      </c>
      <c r="CO14" s="29" t="s">
        <v>33</v>
      </c>
      <c r="CP14" s="29" t="s">
        <v>33</v>
      </c>
      <c r="CQ14" s="29" t="s">
        <v>33</v>
      </c>
      <c r="CR14" s="29" t="s">
        <v>33</v>
      </c>
      <c r="CS14" s="29" t="s">
        <v>33</v>
      </c>
      <c r="CT14" s="29" t="s">
        <v>33</v>
      </c>
      <c r="CU14" s="29" t="s">
        <v>33</v>
      </c>
      <c r="CV14" s="29" t="s">
        <v>33</v>
      </c>
      <c r="CW14" s="29" t="s">
        <v>33</v>
      </c>
      <c r="CX14" s="29" t="s">
        <v>33</v>
      </c>
      <c r="CY14" s="29" t="s">
        <v>33</v>
      </c>
      <c r="CZ14" s="29" t="s">
        <v>33</v>
      </c>
      <c r="DA14" s="29" t="s">
        <v>33</v>
      </c>
      <c r="DB14" s="29" t="s">
        <v>33</v>
      </c>
      <c r="DC14" s="29" t="s">
        <v>33</v>
      </c>
      <c r="DD14" s="29" t="s">
        <v>33</v>
      </c>
      <c r="DE14" s="29" t="s">
        <v>33</v>
      </c>
      <c r="DF14" s="29" t="s">
        <v>33</v>
      </c>
      <c r="DG14" s="29" t="s">
        <v>33</v>
      </c>
      <c r="DH14" s="29" t="s">
        <v>33</v>
      </c>
      <c r="DI14" s="29" t="s">
        <v>33</v>
      </c>
      <c r="DJ14" s="29" t="s">
        <v>33</v>
      </c>
      <c r="DK14" s="29" t="s">
        <v>33</v>
      </c>
      <c r="DL14" s="29" t="s">
        <v>33</v>
      </c>
      <c r="DM14" s="29" t="s">
        <v>33</v>
      </c>
      <c r="DN14" s="29" t="s">
        <v>33</v>
      </c>
      <c r="DO14" s="29" t="s">
        <v>33</v>
      </c>
      <c r="DP14" s="29" t="s">
        <v>33</v>
      </c>
      <c r="DQ14" s="29" t="s">
        <v>33</v>
      </c>
      <c r="DR14" s="29" t="s">
        <v>33</v>
      </c>
      <c r="DS14" s="29" t="s">
        <v>33</v>
      </c>
      <c r="DT14" s="29" t="s">
        <v>33</v>
      </c>
      <c r="DU14" s="29" t="s">
        <v>33</v>
      </c>
      <c r="DV14" s="29" t="s">
        <v>33</v>
      </c>
      <c r="DW14" s="29" t="s">
        <v>33</v>
      </c>
      <c r="DX14" s="29" t="s">
        <v>33</v>
      </c>
      <c r="DY14" s="29" t="s">
        <v>33</v>
      </c>
      <c r="DZ14" s="29" t="s">
        <v>33</v>
      </c>
      <c r="EA14" s="29" t="s">
        <v>33</v>
      </c>
      <c r="EB14" s="29" t="s">
        <v>33</v>
      </c>
      <c r="EC14" s="29" t="s">
        <v>33</v>
      </c>
      <c r="ED14" s="29" t="s">
        <v>33</v>
      </c>
      <c r="EE14" s="29" t="s">
        <v>33</v>
      </c>
      <c r="EF14" s="29" t="s">
        <v>33</v>
      </c>
      <c r="EG14" s="29" t="s">
        <v>33</v>
      </c>
      <c r="EH14" s="29" t="s">
        <v>33</v>
      </c>
      <c r="EI14" s="29" t="s">
        <v>33</v>
      </c>
      <c r="EJ14" s="29" t="s">
        <v>33</v>
      </c>
      <c r="EK14" s="29" t="s">
        <v>33</v>
      </c>
      <c r="EL14" s="29" t="s">
        <v>33</v>
      </c>
      <c r="EM14" s="29" t="s">
        <v>33</v>
      </c>
      <c r="EN14" s="29" t="s">
        <v>33</v>
      </c>
      <c r="EO14" s="29" t="s">
        <v>33</v>
      </c>
      <c r="EP14" s="29" t="s">
        <v>33</v>
      </c>
      <c r="EQ14" s="29" t="s">
        <v>33</v>
      </c>
      <c r="ER14" s="29" t="s">
        <v>33</v>
      </c>
      <c r="ES14" s="29" t="s">
        <v>33</v>
      </c>
      <c r="ET14" s="29" t="s">
        <v>33</v>
      </c>
      <c r="EU14" s="29" t="s">
        <v>33</v>
      </c>
      <c r="EV14" s="29" t="s">
        <v>33</v>
      </c>
      <c r="EW14" s="29" t="s">
        <v>33</v>
      </c>
      <c r="EX14" s="29" t="s">
        <v>33</v>
      </c>
      <c r="EY14" s="29" t="s">
        <v>33</v>
      </c>
      <c r="EZ14" s="29" t="s">
        <v>33</v>
      </c>
      <c r="FA14" s="29" t="s">
        <v>33</v>
      </c>
      <c r="FB14" s="29" t="s">
        <v>33</v>
      </c>
      <c r="FC14" s="29" t="s">
        <v>33</v>
      </c>
      <c r="FD14" s="29" t="s">
        <v>33</v>
      </c>
      <c r="FE14" s="29" t="s">
        <v>33</v>
      </c>
      <c r="FF14" s="29" t="s">
        <v>33</v>
      </c>
      <c r="FG14" s="29" t="s">
        <v>33</v>
      </c>
      <c r="FH14" s="29" t="s">
        <v>33</v>
      </c>
      <c r="FI14" s="29" t="s">
        <v>33</v>
      </c>
      <c r="FJ14" s="29" t="s">
        <v>33</v>
      </c>
      <c r="FK14" s="29" t="s">
        <v>33</v>
      </c>
      <c r="FL14" s="29" t="s">
        <v>33</v>
      </c>
      <c r="FM14" s="29" t="s">
        <v>33</v>
      </c>
      <c r="FN14" s="29" t="s">
        <v>33</v>
      </c>
      <c r="FO14" s="29" t="s">
        <v>33</v>
      </c>
      <c r="FP14" s="29" t="s">
        <v>33</v>
      </c>
      <c r="FQ14" s="29" t="s">
        <v>33</v>
      </c>
      <c r="FR14" s="29" t="s">
        <v>33</v>
      </c>
      <c r="FS14" s="29" t="s">
        <v>33</v>
      </c>
      <c r="FT14" s="29" t="s">
        <v>33</v>
      </c>
      <c r="FU14" s="29" t="s">
        <v>33</v>
      </c>
      <c r="FV14" s="29" t="s">
        <v>33</v>
      </c>
      <c r="FW14" s="29" t="s">
        <v>33</v>
      </c>
      <c r="FX14" s="29" t="s">
        <v>33</v>
      </c>
      <c r="FY14" s="29" t="s">
        <v>33</v>
      </c>
      <c r="FZ14" s="29" t="s">
        <v>33</v>
      </c>
      <c r="GA14" s="29" t="s">
        <v>33</v>
      </c>
      <c r="GB14" s="29" t="s">
        <v>33</v>
      </c>
      <c r="GC14" s="29" t="s">
        <v>33</v>
      </c>
      <c r="GD14" s="29" t="s">
        <v>33</v>
      </c>
      <c r="GE14" s="29" t="s">
        <v>33</v>
      </c>
      <c r="GF14" s="29" t="s">
        <v>33</v>
      </c>
      <c r="GG14" s="29" t="s">
        <v>33</v>
      </c>
      <c r="GH14" s="29" t="s">
        <v>33</v>
      </c>
      <c r="GI14" s="29" t="s">
        <v>33</v>
      </c>
      <c r="GJ14" s="29" t="s">
        <v>33</v>
      </c>
      <c r="GK14" s="29" t="s">
        <v>33</v>
      </c>
      <c r="GL14" s="29" t="s">
        <v>33</v>
      </c>
      <c r="GM14" s="29" t="s">
        <v>33</v>
      </c>
      <c r="GN14" s="75" t="s">
        <v>33</v>
      </c>
      <c r="GO14" s="75" t="s">
        <v>33</v>
      </c>
      <c r="GP14" s="75" t="s">
        <v>33</v>
      </c>
      <c r="GQ14" s="75" t="s">
        <v>33</v>
      </c>
      <c r="GR14" s="75" t="s">
        <v>33</v>
      </c>
      <c r="GS14" s="75" t="s">
        <v>33</v>
      </c>
      <c r="GT14" s="75" t="s">
        <v>33</v>
      </c>
      <c r="GU14" s="75" t="s">
        <v>33</v>
      </c>
      <c r="GV14" s="75" t="s">
        <v>33</v>
      </c>
      <c r="GW14" s="75" t="s">
        <v>33</v>
      </c>
      <c r="GX14" s="75" t="s">
        <v>33</v>
      </c>
      <c r="GY14" s="75" t="s">
        <v>33</v>
      </c>
    </row>
    <row r="15" spans="1:211" x14ac:dyDescent="0.25">
      <c r="A15" t="s">
        <v>18</v>
      </c>
      <c r="D15" s="31">
        <f>SUM(D10:D14)</f>
        <v>99</v>
      </c>
      <c r="E15" s="31">
        <f t="shared" ref="E15:BP15" si="0">SUM(E10:E14)</f>
        <v>101</v>
      </c>
      <c r="F15" s="31">
        <f t="shared" si="0"/>
        <v>100</v>
      </c>
      <c r="G15" s="31">
        <f t="shared" si="0"/>
        <v>102</v>
      </c>
      <c r="H15" s="31">
        <f t="shared" si="0"/>
        <v>103</v>
      </c>
      <c r="I15" s="31">
        <f t="shared" si="0"/>
        <v>105</v>
      </c>
      <c r="J15" s="31">
        <f t="shared" si="0"/>
        <v>101</v>
      </c>
      <c r="K15" s="31">
        <f t="shared" si="0"/>
        <v>101</v>
      </c>
      <c r="L15" s="31">
        <f t="shared" si="0"/>
        <v>110</v>
      </c>
      <c r="M15" s="31">
        <f t="shared" si="0"/>
        <v>116</v>
      </c>
      <c r="N15" s="31">
        <f t="shared" si="0"/>
        <v>121</v>
      </c>
      <c r="O15" s="31">
        <f t="shared" si="0"/>
        <v>121</v>
      </c>
      <c r="P15" s="31">
        <f t="shared" si="0"/>
        <v>125</v>
      </c>
      <c r="Q15" s="31">
        <f t="shared" si="0"/>
        <v>140</v>
      </c>
      <c r="R15" s="31">
        <f t="shared" si="0"/>
        <v>149</v>
      </c>
      <c r="S15" s="31">
        <f t="shared" si="0"/>
        <v>149</v>
      </c>
      <c r="T15" s="31">
        <f t="shared" si="0"/>
        <v>148</v>
      </c>
      <c r="U15" s="31">
        <f t="shared" si="0"/>
        <v>147</v>
      </c>
      <c r="V15" s="31">
        <f t="shared" si="0"/>
        <v>148</v>
      </c>
      <c r="W15" s="31">
        <f t="shared" si="0"/>
        <v>147</v>
      </c>
      <c r="X15" s="31">
        <f t="shared" si="0"/>
        <v>153</v>
      </c>
      <c r="Y15" s="31">
        <f t="shared" si="0"/>
        <v>153</v>
      </c>
      <c r="Z15" s="31">
        <f t="shared" si="0"/>
        <v>154</v>
      </c>
      <c r="AA15" s="31">
        <f t="shared" si="0"/>
        <v>153</v>
      </c>
      <c r="AB15" s="31">
        <f t="shared" si="0"/>
        <v>152</v>
      </c>
      <c r="AC15" s="31">
        <f t="shared" si="0"/>
        <v>154</v>
      </c>
      <c r="AD15" s="31">
        <f t="shared" si="0"/>
        <v>150</v>
      </c>
      <c r="AE15" s="31">
        <f t="shared" si="0"/>
        <v>150</v>
      </c>
      <c r="AF15" s="31">
        <f t="shared" si="0"/>
        <v>152</v>
      </c>
      <c r="AG15" s="31">
        <f t="shared" si="0"/>
        <v>151</v>
      </c>
      <c r="AH15" s="31">
        <f t="shared" si="0"/>
        <v>152</v>
      </c>
      <c r="AI15" s="31">
        <f t="shared" si="0"/>
        <v>155</v>
      </c>
      <c r="AJ15" s="31">
        <f t="shared" si="0"/>
        <v>160</v>
      </c>
      <c r="AK15" s="31">
        <f t="shared" si="0"/>
        <v>162</v>
      </c>
      <c r="AL15" s="31">
        <f t="shared" si="0"/>
        <v>161</v>
      </c>
      <c r="AM15" s="31">
        <f t="shared" si="0"/>
        <v>162</v>
      </c>
      <c r="AN15" s="31">
        <f t="shared" si="0"/>
        <v>167</v>
      </c>
      <c r="AO15" s="31">
        <f t="shared" si="0"/>
        <v>177</v>
      </c>
      <c r="AP15" s="31">
        <f t="shared" si="0"/>
        <v>178</v>
      </c>
      <c r="AQ15" s="31">
        <f t="shared" si="0"/>
        <v>174</v>
      </c>
      <c r="AR15" s="31">
        <f t="shared" si="0"/>
        <v>176</v>
      </c>
      <c r="AS15" s="31">
        <f t="shared" si="0"/>
        <v>175</v>
      </c>
      <c r="AT15" s="31">
        <f t="shared" si="0"/>
        <v>167</v>
      </c>
      <c r="AU15" s="31">
        <f t="shared" si="0"/>
        <v>168</v>
      </c>
      <c r="AV15" s="31">
        <f t="shared" si="0"/>
        <v>168</v>
      </c>
      <c r="AW15" s="31">
        <f t="shared" si="0"/>
        <v>166</v>
      </c>
      <c r="AX15" s="31">
        <f t="shared" si="0"/>
        <v>168</v>
      </c>
      <c r="AY15" s="31">
        <f t="shared" si="0"/>
        <v>169</v>
      </c>
      <c r="AZ15" s="31">
        <f t="shared" si="0"/>
        <v>173</v>
      </c>
      <c r="BA15" s="31">
        <f t="shared" si="0"/>
        <v>171</v>
      </c>
      <c r="BB15" s="31">
        <f t="shared" si="0"/>
        <v>166</v>
      </c>
      <c r="BC15" s="31">
        <f t="shared" si="0"/>
        <v>163</v>
      </c>
      <c r="BD15" s="31">
        <f t="shared" si="0"/>
        <v>163</v>
      </c>
      <c r="BE15" s="31">
        <f t="shared" si="0"/>
        <v>161</v>
      </c>
      <c r="BF15" s="31">
        <f t="shared" si="0"/>
        <v>159</v>
      </c>
      <c r="BG15" s="31">
        <f t="shared" si="0"/>
        <v>155</v>
      </c>
      <c r="BH15" s="31">
        <f t="shared" si="0"/>
        <v>154</v>
      </c>
      <c r="BI15" s="31">
        <f t="shared" si="0"/>
        <v>153</v>
      </c>
      <c r="BJ15" s="31">
        <f t="shared" si="0"/>
        <v>150</v>
      </c>
      <c r="BK15" s="31">
        <f t="shared" si="0"/>
        <v>151</v>
      </c>
      <c r="BL15" s="31">
        <f t="shared" si="0"/>
        <v>259</v>
      </c>
      <c r="BM15" s="31">
        <f t="shared" si="0"/>
        <v>256</v>
      </c>
      <c r="BN15" s="31">
        <f t="shared" si="0"/>
        <v>255</v>
      </c>
      <c r="BO15" s="31">
        <f t="shared" si="0"/>
        <v>270</v>
      </c>
      <c r="BP15" s="31">
        <f t="shared" si="0"/>
        <v>297</v>
      </c>
      <c r="BQ15" s="31">
        <f t="shared" ref="BQ15:EB15" si="1">SUM(BQ10:BQ14)</f>
        <v>324</v>
      </c>
      <c r="BR15" s="31">
        <f t="shared" si="1"/>
        <v>342</v>
      </c>
      <c r="BS15" s="31">
        <f t="shared" si="1"/>
        <v>411</v>
      </c>
      <c r="BT15" s="31">
        <f t="shared" si="1"/>
        <v>511</v>
      </c>
      <c r="BU15" s="31">
        <f t="shared" si="1"/>
        <v>533</v>
      </c>
      <c r="BV15" s="31">
        <f t="shared" si="1"/>
        <v>545</v>
      </c>
      <c r="BW15" s="31">
        <f t="shared" si="1"/>
        <v>558</v>
      </c>
      <c r="BX15" s="31">
        <f t="shared" si="1"/>
        <v>643</v>
      </c>
      <c r="BY15" s="31">
        <f t="shared" si="1"/>
        <v>684</v>
      </c>
      <c r="BZ15" s="31">
        <f t="shared" si="1"/>
        <v>707</v>
      </c>
      <c r="CA15" s="31">
        <f t="shared" si="1"/>
        <v>729</v>
      </c>
      <c r="CB15" s="31">
        <f t="shared" si="1"/>
        <v>784</v>
      </c>
      <c r="CC15" s="31">
        <f t="shared" si="1"/>
        <v>822</v>
      </c>
      <c r="CD15" s="31">
        <f t="shared" si="1"/>
        <v>865</v>
      </c>
      <c r="CE15" s="31">
        <f t="shared" si="1"/>
        <v>913</v>
      </c>
      <c r="CF15" s="31">
        <f t="shared" si="1"/>
        <v>936</v>
      </c>
      <c r="CG15" s="31">
        <f t="shared" si="1"/>
        <v>989</v>
      </c>
      <c r="CH15" s="31">
        <f t="shared" si="1"/>
        <v>1069</v>
      </c>
      <c r="CI15" s="31">
        <f t="shared" si="1"/>
        <v>1104</v>
      </c>
      <c r="CJ15" s="31">
        <f t="shared" si="1"/>
        <v>1163</v>
      </c>
      <c r="CK15" s="31">
        <f t="shared" si="1"/>
        <v>1221</v>
      </c>
      <c r="CL15" s="31">
        <f t="shared" si="1"/>
        <v>1252</v>
      </c>
      <c r="CM15" s="31">
        <f t="shared" si="1"/>
        <v>1293</v>
      </c>
      <c r="CN15" s="31">
        <f t="shared" si="1"/>
        <v>1393</v>
      </c>
      <c r="CO15" s="31">
        <f t="shared" si="1"/>
        <v>1505</v>
      </c>
      <c r="CP15" s="31">
        <f t="shared" si="1"/>
        <v>1658</v>
      </c>
      <c r="CQ15" s="31">
        <f t="shared" si="1"/>
        <v>1730</v>
      </c>
      <c r="CR15" s="31">
        <f t="shared" si="1"/>
        <v>1813</v>
      </c>
      <c r="CS15" s="31">
        <f t="shared" si="1"/>
        <v>1901</v>
      </c>
      <c r="CT15" s="31">
        <f t="shared" si="1"/>
        <v>1994</v>
      </c>
      <c r="CU15" s="31">
        <f t="shared" si="1"/>
        <v>2055</v>
      </c>
      <c r="CV15" s="31">
        <f t="shared" si="1"/>
        <v>2152</v>
      </c>
      <c r="CW15" s="31">
        <f t="shared" si="1"/>
        <v>2229</v>
      </c>
      <c r="CX15" s="31">
        <f t="shared" si="1"/>
        <v>2295</v>
      </c>
      <c r="CY15" s="31">
        <f t="shared" si="1"/>
        <v>2367</v>
      </c>
      <c r="CZ15" s="31">
        <f t="shared" si="1"/>
        <v>2430</v>
      </c>
      <c r="DA15" s="31">
        <f t="shared" si="1"/>
        <v>2520</v>
      </c>
      <c r="DB15" s="31">
        <f t="shared" si="1"/>
        <v>2628</v>
      </c>
      <c r="DC15" s="31">
        <f t="shared" si="1"/>
        <v>2733</v>
      </c>
      <c r="DD15" s="31">
        <f t="shared" si="1"/>
        <v>2828</v>
      </c>
      <c r="DE15" s="31">
        <f t="shared" si="1"/>
        <v>2930</v>
      </c>
      <c r="DF15" s="31">
        <f t="shared" si="1"/>
        <v>3002</v>
      </c>
      <c r="DG15" s="31">
        <f t="shared" si="1"/>
        <v>3063</v>
      </c>
      <c r="DH15" s="31">
        <f t="shared" si="1"/>
        <v>3137</v>
      </c>
      <c r="DI15" s="31">
        <f t="shared" si="1"/>
        <v>3225</v>
      </c>
      <c r="DJ15" s="31">
        <f t="shared" si="1"/>
        <v>3281</v>
      </c>
      <c r="DK15" s="31">
        <f t="shared" si="1"/>
        <v>3360</v>
      </c>
      <c r="DL15" s="31">
        <f t="shared" si="1"/>
        <v>3407</v>
      </c>
      <c r="DM15" s="31">
        <f t="shared" si="1"/>
        <v>3444</v>
      </c>
      <c r="DN15" s="31">
        <f t="shared" si="1"/>
        <v>3473</v>
      </c>
      <c r="DO15" s="31">
        <f t="shared" si="1"/>
        <v>3564</v>
      </c>
      <c r="DP15" s="31">
        <f t="shared" si="1"/>
        <v>3621</v>
      </c>
      <c r="DQ15" s="31">
        <f t="shared" si="1"/>
        <v>3708</v>
      </c>
      <c r="DR15" s="31">
        <f t="shared" si="1"/>
        <v>3784</v>
      </c>
      <c r="DS15" s="31">
        <f t="shared" si="1"/>
        <v>3853</v>
      </c>
      <c r="DT15" s="31">
        <f t="shared" si="1"/>
        <v>3936</v>
      </c>
      <c r="DU15" s="31">
        <f t="shared" si="1"/>
        <v>4066</v>
      </c>
      <c r="DV15" s="31">
        <f t="shared" si="1"/>
        <v>4121</v>
      </c>
      <c r="DW15" s="31">
        <f t="shared" si="1"/>
        <v>4158</v>
      </c>
      <c r="DX15" s="31">
        <f t="shared" si="1"/>
        <v>4268</v>
      </c>
      <c r="DY15" s="31">
        <f t="shared" si="1"/>
        <v>4316</v>
      </c>
      <c r="DZ15" s="31">
        <f t="shared" si="1"/>
        <v>4379</v>
      </c>
      <c r="EA15" s="31">
        <f t="shared" si="1"/>
        <v>4476</v>
      </c>
      <c r="EB15" s="31">
        <f t="shared" si="1"/>
        <v>4598</v>
      </c>
      <c r="EC15" s="31">
        <f t="shared" ref="EC15:GE15" si="2">SUM(EC10:EC14)</f>
        <v>4705</v>
      </c>
      <c r="ED15" s="31">
        <f t="shared" si="2"/>
        <v>4847</v>
      </c>
      <c r="EE15" s="31">
        <f t="shared" si="2"/>
        <v>4960</v>
      </c>
      <c r="EF15" s="31">
        <f t="shared" si="2"/>
        <v>5032</v>
      </c>
      <c r="EG15" s="31">
        <f t="shared" si="2"/>
        <v>5180</v>
      </c>
      <c r="EH15" s="31">
        <f t="shared" si="2"/>
        <v>5323</v>
      </c>
      <c r="EI15" s="31">
        <f t="shared" si="2"/>
        <v>5450</v>
      </c>
      <c r="EJ15" s="31">
        <f t="shared" si="2"/>
        <v>5592</v>
      </c>
      <c r="EK15" s="31">
        <f t="shared" si="2"/>
        <v>5731</v>
      </c>
      <c r="EL15" s="31">
        <f t="shared" si="2"/>
        <v>5887</v>
      </c>
      <c r="EM15" s="31">
        <f t="shared" si="2"/>
        <v>6010</v>
      </c>
      <c r="EN15" s="31">
        <f t="shared" si="2"/>
        <v>6134</v>
      </c>
      <c r="EO15" s="31">
        <f t="shared" si="2"/>
        <v>6267</v>
      </c>
      <c r="EP15" s="31">
        <f t="shared" si="2"/>
        <v>6384</v>
      </c>
      <c r="EQ15" s="31">
        <f t="shared" si="2"/>
        <v>6463</v>
      </c>
      <c r="ER15" s="31">
        <f t="shared" si="2"/>
        <v>6518</v>
      </c>
      <c r="ES15" s="31">
        <f t="shared" si="2"/>
        <v>6654</v>
      </c>
      <c r="ET15" s="31">
        <f t="shared" si="2"/>
        <v>6697</v>
      </c>
      <c r="EU15" s="31">
        <f t="shared" si="2"/>
        <v>6815</v>
      </c>
      <c r="EV15" s="31">
        <f t="shared" si="2"/>
        <v>6989</v>
      </c>
      <c r="EW15" s="31">
        <f t="shared" si="2"/>
        <v>7093</v>
      </c>
      <c r="EX15" s="31">
        <f t="shared" si="2"/>
        <v>7232</v>
      </c>
      <c r="EY15" s="31">
        <f t="shared" si="2"/>
        <v>7384</v>
      </c>
      <c r="EZ15" s="31">
        <f t="shared" si="2"/>
        <v>7527</v>
      </c>
      <c r="FA15" s="31">
        <f t="shared" si="2"/>
        <v>7679</v>
      </c>
      <c r="FB15" s="31">
        <f t="shared" si="2"/>
        <v>7944</v>
      </c>
      <c r="FC15" s="31">
        <f t="shared" si="2"/>
        <v>8052</v>
      </c>
      <c r="FD15" s="31">
        <f t="shared" si="2"/>
        <v>8146</v>
      </c>
      <c r="FE15" s="31">
        <f t="shared" si="2"/>
        <v>8395</v>
      </c>
      <c r="FF15" s="31">
        <f t="shared" si="2"/>
        <v>8655</v>
      </c>
      <c r="FG15" s="31">
        <f t="shared" si="2"/>
        <v>8818</v>
      </c>
      <c r="FH15" s="31">
        <f t="shared" si="2"/>
        <v>8974</v>
      </c>
      <c r="FI15" s="31">
        <f t="shared" si="2"/>
        <v>9136</v>
      </c>
      <c r="FJ15" s="31">
        <f t="shared" si="2"/>
        <v>9386</v>
      </c>
      <c r="FK15" s="31">
        <f t="shared" si="2"/>
        <v>9592</v>
      </c>
      <c r="FL15" s="31">
        <f t="shared" si="2"/>
        <v>9687</v>
      </c>
      <c r="FM15" s="31">
        <f t="shared" si="2"/>
        <v>8256</v>
      </c>
      <c r="FN15" s="31">
        <f t="shared" si="2"/>
        <v>8886</v>
      </c>
      <c r="FO15" s="31">
        <f t="shared" si="2"/>
        <v>9125</v>
      </c>
      <c r="FP15" s="31">
        <f t="shared" si="2"/>
        <v>10739</v>
      </c>
      <c r="FQ15" s="31">
        <f t="shared" si="2"/>
        <v>10961</v>
      </c>
      <c r="FR15" s="31">
        <f t="shared" si="2"/>
        <v>11407</v>
      </c>
      <c r="FS15" s="31">
        <f t="shared" si="2"/>
        <v>11634</v>
      </c>
      <c r="FT15" s="31">
        <f t="shared" si="2"/>
        <v>11785</v>
      </c>
      <c r="FU15" s="31">
        <f t="shared" si="2"/>
        <v>11841</v>
      </c>
      <c r="FV15" s="31">
        <f t="shared" si="2"/>
        <v>11940</v>
      </c>
      <c r="FW15" s="31">
        <f t="shared" si="2"/>
        <v>12053</v>
      </c>
      <c r="FX15" s="31">
        <f t="shared" si="2"/>
        <v>12343</v>
      </c>
      <c r="FY15" s="31">
        <f t="shared" si="2"/>
        <v>12575</v>
      </c>
      <c r="FZ15" s="31">
        <f t="shared" si="2"/>
        <v>12801</v>
      </c>
      <c r="GA15" s="31">
        <f t="shared" si="2"/>
        <v>13027</v>
      </c>
      <c r="GB15" s="31">
        <f t="shared" si="2"/>
        <v>13283</v>
      </c>
      <c r="GC15" s="31">
        <f t="shared" si="2"/>
        <v>13554</v>
      </c>
      <c r="GD15" s="31">
        <f t="shared" si="2"/>
        <v>13603</v>
      </c>
      <c r="GE15" s="31">
        <f t="shared" si="2"/>
        <v>13946</v>
      </c>
      <c r="GF15" s="31">
        <f>SUM(GF10:GF14)</f>
        <v>14516</v>
      </c>
      <c r="GG15" s="31">
        <f t="shared" ref="GG15" si="3">SUM(GG10:GG14)</f>
        <v>14762</v>
      </c>
      <c r="GH15" s="31">
        <f t="shared" ref="GH15" si="4">SUM(GH10:GH14)</f>
        <v>15089</v>
      </c>
      <c r="GI15" s="31">
        <f t="shared" ref="GI15" si="5">SUM(GI10:GI14)</f>
        <v>15736</v>
      </c>
      <c r="GJ15" s="31">
        <f t="shared" ref="GJ15" si="6">SUM(GJ10:GJ14)</f>
        <v>16093</v>
      </c>
      <c r="GK15" s="31">
        <f t="shared" ref="GK15" si="7">SUM(GK10:GK14)</f>
        <v>16532</v>
      </c>
      <c r="GL15" s="31">
        <f t="shared" ref="GL15" si="8">SUM(GL10:GL14)</f>
        <v>16934</v>
      </c>
      <c r="GM15" s="31">
        <f t="shared" ref="GM15" si="9">SUM(GM10:GM14)</f>
        <v>17205</v>
      </c>
      <c r="GN15" s="31">
        <f t="shared" ref="GN15" si="10">SUM(GN10:GN14)</f>
        <v>17536</v>
      </c>
      <c r="GO15" s="31">
        <f t="shared" ref="GO15" si="11">SUM(GO10:GO14)</f>
        <v>18068</v>
      </c>
      <c r="GP15" s="31">
        <f t="shared" ref="GP15" si="12">SUM(GP10:GP14)</f>
        <v>18367</v>
      </c>
      <c r="GQ15" s="31">
        <f t="shared" ref="GQ15" si="13">SUM(GQ10:GQ14)</f>
        <v>18648</v>
      </c>
      <c r="GR15" s="31">
        <f t="shared" ref="GR15" si="14">SUM(GR10:GR14)</f>
        <v>19054</v>
      </c>
      <c r="GS15" s="31">
        <f t="shared" ref="GS15" si="15">SUM(GS10:GS14)</f>
        <v>19309</v>
      </c>
      <c r="GT15" s="31">
        <f t="shared" ref="GT15" si="16">SUM(GT10:GT14)</f>
        <v>19621</v>
      </c>
      <c r="GU15" s="31">
        <f t="shared" ref="GU15" si="17">SUM(GU10:GU14)</f>
        <v>20056</v>
      </c>
      <c r="GV15" s="31">
        <f t="shared" ref="GV15" si="18">SUM(GV10:GV14)</f>
        <v>20337</v>
      </c>
      <c r="GW15" s="31">
        <f t="shared" ref="GW15" si="19">SUM(GW10:GW14)</f>
        <v>20847</v>
      </c>
      <c r="GX15" s="31">
        <f t="shared" ref="GX15" si="20">SUM(GX10:GX14)</f>
        <v>21187</v>
      </c>
      <c r="GY15" s="31">
        <f t="shared" ref="GY15" si="21">SUM(GY10:GY14)</f>
        <v>21576</v>
      </c>
      <c r="GZ15" s="31">
        <f t="shared" ref="GZ15" si="22">SUM(GZ10:GZ14)</f>
        <v>0</v>
      </c>
      <c r="HA15" s="31">
        <f t="shared" ref="HA15" si="23">SUM(HA10:HA14)</f>
        <v>0</v>
      </c>
      <c r="HB15" s="31">
        <f t="shared" ref="HB15" si="24">SUM(HB10:HB14)</f>
        <v>0</v>
      </c>
      <c r="HC15" s="31">
        <f t="shared" ref="HC15" si="25">SUM(HC10:HC14)</f>
        <v>0</v>
      </c>
    </row>
    <row r="16" spans="1:211" s="29" customFormat="1" x14ac:dyDescent="0.25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</row>
    <row r="17" spans="1:135" x14ac:dyDescent="0.25">
      <c r="A17" t="s">
        <v>40</v>
      </c>
    </row>
    <row r="18" spans="1:135" s="37" customFormat="1" x14ac:dyDescent="0.25">
      <c r="D18" s="37">
        <v>2006</v>
      </c>
      <c r="E18" s="37">
        <f>D18+1</f>
        <v>2007</v>
      </c>
      <c r="F18" s="37">
        <f t="shared" ref="F18:R18" si="26">E18+1</f>
        <v>2008</v>
      </c>
      <c r="G18" s="37">
        <f t="shared" si="26"/>
        <v>2009</v>
      </c>
      <c r="H18" s="37">
        <f t="shared" si="26"/>
        <v>2010</v>
      </c>
      <c r="I18" s="37">
        <f t="shared" si="26"/>
        <v>2011</v>
      </c>
      <c r="J18" s="37">
        <f t="shared" si="26"/>
        <v>2012</v>
      </c>
      <c r="K18" s="37">
        <f t="shared" si="26"/>
        <v>2013</v>
      </c>
      <c r="L18" s="37">
        <f t="shared" si="26"/>
        <v>2014</v>
      </c>
      <c r="M18" s="37">
        <f t="shared" si="26"/>
        <v>2015</v>
      </c>
      <c r="N18" s="37">
        <f t="shared" si="26"/>
        <v>2016</v>
      </c>
      <c r="O18" s="37">
        <f t="shared" si="26"/>
        <v>2017</v>
      </c>
      <c r="P18" s="37">
        <f t="shared" si="26"/>
        <v>2018</v>
      </c>
      <c r="Q18" s="37">
        <f t="shared" si="26"/>
        <v>2019</v>
      </c>
      <c r="R18" s="37">
        <f t="shared" si="26"/>
        <v>2020</v>
      </c>
      <c r="S18" s="37">
        <f t="shared" ref="S18:T18" si="27">R18+1</f>
        <v>2021</v>
      </c>
      <c r="T18" s="37">
        <f t="shared" si="27"/>
        <v>2022</v>
      </c>
    </row>
    <row r="19" spans="1:135" s="29" customFormat="1" x14ac:dyDescent="0.25">
      <c r="A19" s="29" t="s">
        <v>53</v>
      </c>
      <c r="B19" s="29" t="s">
        <v>14</v>
      </c>
      <c r="C19" s="29" t="s">
        <v>15</v>
      </c>
      <c r="D19" s="31">
        <f>O10</f>
        <v>74</v>
      </c>
      <c r="E19" s="44">
        <f>AA10</f>
        <v>102</v>
      </c>
      <c r="F19" s="31">
        <f>AM10</f>
        <v>109</v>
      </c>
      <c r="G19" s="31">
        <f>AY10</f>
        <v>106</v>
      </c>
      <c r="H19" s="31">
        <f>BK10</f>
        <v>98</v>
      </c>
      <c r="I19" s="31">
        <f>BW10</f>
        <v>410</v>
      </c>
      <c r="J19" s="31">
        <f>CI10</f>
        <v>870</v>
      </c>
      <c r="K19" s="31">
        <f>CU10</f>
        <v>1602</v>
      </c>
      <c r="L19" s="31">
        <f>DG10</f>
        <v>2318</v>
      </c>
      <c r="M19" s="31">
        <f>DS10</f>
        <v>3013</v>
      </c>
      <c r="N19" s="31">
        <f>EE10</f>
        <v>3957</v>
      </c>
      <c r="O19" s="31">
        <f>EQ10</f>
        <v>5201</v>
      </c>
      <c r="P19" s="31">
        <f>FC10</f>
        <v>6552</v>
      </c>
      <c r="Q19" s="31">
        <f>FO10</f>
        <v>7283</v>
      </c>
      <c r="R19" s="31">
        <f>GA10</f>
        <v>10539</v>
      </c>
      <c r="S19" s="29">
        <f>GM10</f>
        <v>13930</v>
      </c>
      <c r="T19" s="77">
        <f>GY10</f>
        <v>17168</v>
      </c>
    </row>
    <row r="20" spans="1:135" s="29" customFormat="1" x14ac:dyDescent="0.25">
      <c r="A20" s="29" t="s">
        <v>11</v>
      </c>
      <c r="B20" s="29" t="s">
        <v>14</v>
      </c>
      <c r="C20" s="29" t="s">
        <v>15</v>
      </c>
      <c r="D20" s="31">
        <f t="shared" ref="D20:D21" si="28">O11</f>
        <v>26</v>
      </c>
      <c r="E20" s="44">
        <f t="shared" ref="E20:E21" si="29">AA11</f>
        <v>30</v>
      </c>
      <c r="F20" s="31">
        <f t="shared" ref="F20:F21" si="30">AM11</f>
        <v>31</v>
      </c>
      <c r="G20" s="31">
        <f t="shared" ref="G20:G21" si="31">AY11</f>
        <v>31</v>
      </c>
      <c r="H20" s="31">
        <f t="shared" ref="H20:H21" si="32">BK11</f>
        <v>26</v>
      </c>
      <c r="I20" s="31">
        <f t="shared" ref="I20:I21" si="33">BW11</f>
        <v>105</v>
      </c>
      <c r="J20" s="31">
        <f t="shared" ref="J20:J21" si="34">CI11</f>
        <v>151</v>
      </c>
      <c r="K20" s="31">
        <f t="shared" ref="K20:K21" si="35">CU11</f>
        <v>350</v>
      </c>
      <c r="L20" s="31">
        <f t="shared" ref="L20:L21" si="36">DG11</f>
        <v>593</v>
      </c>
      <c r="M20" s="31">
        <f t="shared" ref="M20:M21" si="37">DS11</f>
        <v>664</v>
      </c>
      <c r="N20" s="31">
        <f t="shared" ref="N20:N21" si="38">EE11</f>
        <v>762</v>
      </c>
      <c r="O20" s="31">
        <f t="shared" ref="O20:O21" si="39">EQ11</f>
        <v>912</v>
      </c>
      <c r="P20" s="31">
        <f t="shared" ref="P20:P21" si="40">FC11</f>
        <v>1045</v>
      </c>
      <c r="Q20" s="31">
        <f t="shared" ref="Q20:Q21" si="41">FO11</f>
        <v>1238</v>
      </c>
      <c r="R20" s="31">
        <f t="shared" ref="R20:R21" si="42">GA11</f>
        <v>1588</v>
      </c>
      <c r="S20" s="29">
        <f t="shared" ref="S20:S21" si="43">GM11</f>
        <v>2032</v>
      </c>
      <c r="T20" s="78">
        <f>GY11</f>
        <v>2625</v>
      </c>
    </row>
    <row r="21" spans="1:135" s="29" customFormat="1" x14ac:dyDescent="0.25">
      <c r="A21" s="29" t="s">
        <v>54</v>
      </c>
      <c r="B21" s="29" t="s">
        <v>14</v>
      </c>
      <c r="C21" s="29" t="s">
        <v>15</v>
      </c>
      <c r="D21" s="31">
        <f t="shared" si="28"/>
        <v>21</v>
      </c>
      <c r="E21" s="44">
        <f t="shared" si="29"/>
        <v>21</v>
      </c>
      <c r="F21" s="31">
        <f t="shared" si="30"/>
        <v>22</v>
      </c>
      <c r="G21" s="31">
        <f t="shared" si="31"/>
        <v>32</v>
      </c>
      <c r="H21" s="31">
        <f t="shared" si="32"/>
        <v>27</v>
      </c>
      <c r="I21" s="31">
        <f t="shared" si="33"/>
        <v>43</v>
      </c>
      <c r="J21" s="31">
        <f t="shared" si="34"/>
        <v>83</v>
      </c>
      <c r="K21" s="31">
        <f t="shared" si="35"/>
        <v>103</v>
      </c>
      <c r="L21" s="31">
        <f t="shared" si="36"/>
        <v>152</v>
      </c>
      <c r="M21" s="31">
        <f t="shared" si="37"/>
        <v>176</v>
      </c>
      <c r="N21" s="31">
        <f t="shared" si="38"/>
        <v>241</v>
      </c>
      <c r="O21" s="31">
        <f t="shared" si="39"/>
        <v>350</v>
      </c>
      <c r="P21" s="31">
        <f t="shared" si="40"/>
        <v>455</v>
      </c>
      <c r="Q21" s="31">
        <f t="shared" si="41"/>
        <v>604</v>
      </c>
      <c r="R21" s="31">
        <f t="shared" si="42"/>
        <v>900</v>
      </c>
      <c r="S21" s="29">
        <f t="shared" si="43"/>
        <v>1243</v>
      </c>
      <c r="T21" s="76">
        <f>GY12</f>
        <v>1783</v>
      </c>
    </row>
    <row r="22" spans="1:135" s="29" customFormat="1" x14ac:dyDescent="0.25">
      <c r="A22" s="29" t="s">
        <v>50</v>
      </c>
      <c r="B22" s="29" t="s">
        <v>33</v>
      </c>
      <c r="C22" s="29" t="s">
        <v>33</v>
      </c>
      <c r="D22" s="31" t="s">
        <v>33</v>
      </c>
      <c r="E22" s="31" t="s">
        <v>33</v>
      </c>
      <c r="F22" s="31" t="s">
        <v>33</v>
      </c>
      <c r="G22" s="31" t="s">
        <v>33</v>
      </c>
      <c r="H22" s="31" t="s">
        <v>33</v>
      </c>
      <c r="I22" s="31" t="s">
        <v>33</v>
      </c>
      <c r="J22" s="31" t="s">
        <v>33</v>
      </c>
      <c r="K22" s="31" t="s">
        <v>33</v>
      </c>
      <c r="L22" s="31" t="s">
        <v>33</v>
      </c>
      <c r="M22" s="31" t="s">
        <v>33</v>
      </c>
      <c r="N22" s="31" t="s">
        <v>33</v>
      </c>
      <c r="O22" s="31" t="s">
        <v>33</v>
      </c>
      <c r="P22" s="31" t="s">
        <v>33</v>
      </c>
      <c r="Q22" s="31" t="s">
        <v>33</v>
      </c>
      <c r="R22" s="31" t="s">
        <v>33</v>
      </c>
      <c r="S22" s="31" t="s">
        <v>33</v>
      </c>
      <c r="T22" s="77" t="s">
        <v>33</v>
      </c>
    </row>
    <row r="23" spans="1:135" s="29" customFormat="1" x14ac:dyDescent="0.25">
      <c r="A23" s="29" t="s">
        <v>52</v>
      </c>
      <c r="B23" s="29" t="s">
        <v>33</v>
      </c>
      <c r="C23" s="29" t="s">
        <v>33</v>
      </c>
      <c r="D23" s="31" t="s">
        <v>33</v>
      </c>
      <c r="E23" s="31" t="s">
        <v>33</v>
      </c>
      <c r="F23" s="31" t="s">
        <v>33</v>
      </c>
      <c r="G23" s="31" t="s">
        <v>33</v>
      </c>
      <c r="H23" s="31" t="s">
        <v>33</v>
      </c>
      <c r="I23" s="31" t="s">
        <v>33</v>
      </c>
      <c r="J23" s="31" t="s">
        <v>33</v>
      </c>
      <c r="K23" s="31" t="s">
        <v>33</v>
      </c>
      <c r="L23" s="31" t="s">
        <v>33</v>
      </c>
      <c r="M23" s="31" t="s">
        <v>33</v>
      </c>
      <c r="N23" s="31" t="s">
        <v>33</v>
      </c>
      <c r="O23" s="31" t="s">
        <v>33</v>
      </c>
      <c r="P23" s="31" t="s">
        <v>33</v>
      </c>
      <c r="Q23" s="31" t="s">
        <v>33</v>
      </c>
      <c r="R23" s="31" t="s">
        <v>33</v>
      </c>
      <c r="S23" s="31" t="s">
        <v>33</v>
      </c>
      <c r="T23" s="77" t="s">
        <v>33</v>
      </c>
    </row>
    <row r="24" spans="1:135" s="35" customFormat="1" x14ac:dyDescent="0.25">
      <c r="A24" s="35" t="s">
        <v>32</v>
      </c>
      <c r="C24" s="39"/>
      <c r="D24" s="38">
        <f>SUM(D19:D21)</f>
        <v>121</v>
      </c>
      <c r="E24" s="38">
        <f t="shared" ref="E24:BP24" si="44">SUM(E19:E21)</f>
        <v>153</v>
      </c>
      <c r="F24" s="38">
        <f t="shared" si="44"/>
        <v>162</v>
      </c>
      <c r="G24" s="38">
        <f t="shared" si="44"/>
        <v>169</v>
      </c>
      <c r="H24" s="38">
        <f t="shared" si="44"/>
        <v>151</v>
      </c>
      <c r="I24" s="38">
        <f t="shared" si="44"/>
        <v>558</v>
      </c>
      <c r="J24" s="38">
        <f t="shared" si="44"/>
        <v>1104</v>
      </c>
      <c r="K24" s="38">
        <f t="shared" si="44"/>
        <v>2055</v>
      </c>
      <c r="L24" s="38">
        <f t="shared" si="44"/>
        <v>3063</v>
      </c>
      <c r="M24" s="38">
        <f t="shared" si="44"/>
        <v>3853</v>
      </c>
      <c r="N24" s="38">
        <f t="shared" si="44"/>
        <v>4960</v>
      </c>
      <c r="O24" s="38">
        <f t="shared" si="44"/>
        <v>6463</v>
      </c>
      <c r="P24" s="38">
        <f t="shared" si="44"/>
        <v>8052</v>
      </c>
      <c r="Q24" s="38">
        <f t="shared" si="44"/>
        <v>9125</v>
      </c>
      <c r="R24" s="38">
        <f t="shared" si="44"/>
        <v>13027</v>
      </c>
      <c r="S24" s="38">
        <f t="shared" si="44"/>
        <v>17205</v>
      </c>
      <c r="T24" s="38">
        <f t="shared" ref="T24" si="45">SUM(T19:T21)</f>
        <v>21576</v>
      </c>
      <c r="U24" s="38"/>
      <c r="V24" s="38">
        <f t="shared" si="44"/>
        <v>0</v>
      </c>
      <c r="W24" s="38">
        <f t="shared" si="44"/>
        <v>0</v>
      </c>
      <c r="X24" s="38">
        <f t="shared" si="44"/>
        <v>0</v>
      </c>
      <c r="Y24" s="38">
        <f t="shared" si="44"/>
        <v>0</v>
      </c>
      <c r="Z24" s="38">
        <f t="shared" si="44"/>
        <v>0</v>
      </c>
      <c r="AA24" s="38">
        <f t="shared" si="44"/>
        <v>0</v>
      </c>
      <c r="AB24" s="38">
        <f t="shared" si="44"/>
        <v>0</v>
      </c>
      <c r="AC24" s="38">
        <f t="shared" si="44"/>
        <v>0</v>
      </c>
      <c r="AD24" s="38">
        <f t="shared" si="44"/>
        <v>0</v>
      </c>
      <c r="AE24" s="38">
        <f t="shared" si="44"/>
        <v>0</v>
      </c>
      <c r="AF24" s="38">
        <f t="shared" si="44"/>
        <v>0</v>
      </c>
      <c r="AG24" s="38">
        <f t="shared" si="44"/>
        <v>0</v>
      </c>
      <c r="AH24" s="38">
        <f t="shared" si="44"/>
        <v>0</v>
      </c>
      <c r="AI24" s="38">
        <f t="shared" si="44"/>
        <v>0</v>
      </c>
      <c r="AJ24" s="38">
        <f t="shared" si="44"/>
        <v>0</v>
      </c>
      <c r="AK24" s="38">
        <f t="shared" si="44"/>
        <v>0</v>
      </c>
      <c r="AL24" s="38">
        <f t="shared" si="44"/>
        <v>0</v>
      </c>
      <c r="AM24" s="38">
        <f t="shared" si="44"/>
        <v>0</v>
      </c>
      <c r="AN24" s="38">
        <f t="shared" si="44"/>
        <v>0</v>
      </c>
      <c r="AO24" s="38">
        <f t="shared" si="44"/>
        <v>0</v>
      </c>
      <c r="AP24" s="38">
        <f t="shared" si="44"/>
        <v>0</v>
      </c>
      <c r="AQ24" s="38">
        <f t="shared" si="44"/>
        <v>0</v>
      </c>
      <c r="AR24" s="38">
        <f t="shared" si="44"/>
        <v>0</v>
      </c>
      <c r="AS24" s="38">
        <f t="shared" si="44"/>
        <v>0</v>
      </c>
      <c r="AT24" s="38">
        <f t="shared" si="44"/>
        <v>0</v>
      </c>
      <c r="AU24" s="38">
        <f t="shared" si="44"/>
        <v>0</v>
      </c>
      <c r="AV24" s="38">
        <f t="shared" si="44"/>
        <v>0</v>
      </c>
      <c r="AW24" s="38">
        <f t="shared" si="44"/>
        <v>0</v>
      </c>
      <c r="AX24" s="38">
        <f t="shared" si="44"/>
        <v>0</v>
      </c>
      <c r="AY24" s="38">
        <f t="shared" si="44"/>
        <v>0</v>
      </c>
      <c r="AZ24" s="38">
        <f t="shared" si="44"/>
        <v>0</v>
      </c>
      <c r="BA24" s="38">
        <f t="shared" si="44"/>
        <v>0</v>
      </c>
      <c r="BB24" s="38">
        <f t="shared" si="44"/>
        <v>0</v>
      </c>
      <c r="BC24" s="38">
        <f t="shared" si="44"/>
        <v>0</v>
      </c>
      <c r="BD24" s="38">
        <f t="shared" si="44"/>
        <v>0</v>
      </c>
      <c r="BE24" s="38">
        <f t="shared" si="44"/>
        <v>0</v>
      </c>
      <c r="BF24" s="38">
        <f t="shared" si="44"/>
        <v>0</v>
      </c>
      <c r="BG24" s="38">
        <f t="shared" si="44"/>
        <v>0</v>
      </c>
      <c r="BH24" s="38">
        <f t="shared" si="44"/>
        <v>0</v>
      </c>
      <c r="BI24" s="38">
        <f t="shared" si="44"/>
        <v>0</v>
      </c>
      <c r="BJ24" s="38">
        <f t="shared" si="44"/>
        <v>0</v>
      </c>
      <c r="BK24" s="38">
        <f t="shared" si="44"/>
        <v>0</v>
      </c>
      <c r="BL24" s="38">
        <f t="shared" si="44"/>
        <v>0</v>
      </c>
      <c r="BM24" s="38">
        <f t="shared" si="44"/>
        <v>0</v>
      </c>
      <c r="BN24" s="38">
        <f t="shared" si="44"/>
        <v>0</v>
      </c>
      <c r="BO24" s="38">
        <f t="shared" si="44"/>
        <v>0</v>
      </c>
      <c r="BP24" s="38">
        <f t="shared" si="44"/>
        <v>0</v>
      </c>
      <c r="BQ24" s="38">
        <f t="shared" ref="BQ24:EB24" si="46">SUM(BQ19:BQ21)</f>
        <v>0</v>
      </c>
      <c r="BR24" s="38">
        <f t="shared" si="46"/>
        <v>0</v>
      </c>
      <c r="BS24" s="38">
        <f t="shared" si="46"/>
        <v>0</v>
      </c>
      <c r="BT24" s="38">
        <f t="shared" si="46"/>
        <v>0</v>
      </c>
      <c r="BU24" s="38">
        <f t="shared" si="46"/>
        <v>0</v>
      </c>
      <c r="BV24" s="38">
        <f t="shared" si="46"/>
        <v>0</v>
      </c>
      <c r="BW24" s="38">
        <f t="shared" si="46"/>
        <v>0</v>
      </c>
      <c r="BX24" s="38">
        <f t="shared" si="46"/>
        <v>0</v>
      </c>
      <c r="BY24" s="38">
        <f t="shared" si="46"/>
        <v>0</v>
      </c>
      <c r="BZ24" s="38">
        <f t="shared" si="46"/>
        <v>0</v>
      </c>
      <c r="CA24" s="38">
        <f t="shared" si="46"/>
        <v>0</v>
      </c>
      <c r="CB24" s="38">
        <f t="shared" si="46"/>
        <v>0</v>
      </c>
      <c r="CC24" s="38">
        <f t="shared" si="46"/>
        <v>0</v>
      </c>
      <c r="CD24" s="38">
        <f t="shared" si="46"/>
        <v>0</v>
      </c>
      <c r="CE24" s="38">
        <f t="shared" si="46"/>
        <v>0</v>
      </c>
      <c r="CF24" s="38">
        <f t="shared" si="46"/>
        <v>0</v>
      </c>
      <c r="CG24" s="38">
        <f t="shared" si="46"/>
        <v>0</v>
      </c>
      <c r="CH24" s="38">
        <f t="shared" si="46"/>
        <v>0</v>
      </c>
      <c r="CI24" s="38">
        <f t="shared" si="46"/>
        <v>0</v>
      </c>
      <c r="CJ24" s="38">
        <f t="shared" si="46"/>
        <v>0</v>
      </c>
      <c r="CK24" s="38">
        <f t="shared" si="46"/>
        <v>0</v>
      </c>
      <c r="CL24" s="38">
        <f t="shared" si="46"/>
        <v>0</v>
      </c>
      <c r="CM24" s="38">
        <f t="shared" si="46"/>
        <v>0</v>
      </c>
      <c r="CN24" s="38">
        <f t="shared" si="46"/>
        <v>0</v>
      </c>
      <c r="CO24" s="38">
        <f t="shared" si="46"/>
        <v>0</v>
      </c>
      <c r="CP24" s="38">
        <f t="shared" si="46"/>
        <v>0</v>
      </c>
      <c r="CQ24" s="38">
        <f t="shared" si="46"/>
        <v>0</v>
      </c>
      <c r="CR24" s="38">
        <f t="shared" si="46"/>
        <v>0</v>
      </c>
      <c r="CS24" s="38">
        <f t="shared" si="46"/>
        <v>0</v>
      </c>
      <c r="CT24" s="38">
        <f t="shared" si="46"/>
        <v>0</v>
      </c>
      <c r="CU24" s="38">
        <f t="shared" si="46"/>
        <v>0</v>
      </c>
      <c r="CV24" s="38">
        <f t="shared" si="46"/>
        <v>0</v>
      </c>
      <c r="CW24" s="38">
        <f t="shared" si="46"/>
        <v>0</v>
      </c>
      <c r="CX24" s="38">
        <f t="shared" si="46"/>
        <v>0</v>
      </c>
      <c r="CY24" s="38">
        <f t="shared" si="46"/>
        <v>0</v>
      </c>
      <c r="CZ24" s="38">
        <f t="shared" si="46"/>
        <v>0</v>
      </c>
      <c r="DA24" s="38">
        <f t="shared" si="46"/>
        <v>0</v>
      </c>
      <c r="DB24" s="38">
        <f t="shared" si="46"/>
        <v>0</v>
      </c>
      <c r="DC24" s="38">
        <f t="shared" si="46"/>
        <v>0</v>
      </c>
      <c r="DD24" s="38">
        <f t="shared" si="46"/>
        <v>0</v>
      </c>
      <c r="DE24" s="38">
        <f t="shared" si="46"/>
        <v>0</v>
      </c>
      <c r="DF24" s="38">
        <f t="shared" si="46"/>
        <v>0</v>
      </c>
      <c r="DG24" s="38">
        <f t="shared" si="46"/>
        <v>0</v>
      </c>
      <c r="DH24" s="38">
        <f t="shared" si="46"/>
        <v>0</v>
      </c>
      <c r="DI24" s="38">
        <f t="shared" si="46"/>
        <v>0</v>
      </c>
      <c r="DJ24" s="38">
        <f t="shared" si="46"/>
        <v>0</v>
      </c>
      <c r="DK24" s="38">
        <f t="shared" si="46"/>
        <v>0</v>
      </c>
      <c r="DL24" s="38">
        <f t="shared" si="46"/>
        <v>0</v>
      </c>
      <c r="DM24" s="38">
        <f t="shared" si="46"/>
        <v>0</v>
      </c>
      <c r="DN24" s="38">
        <f t="shared" si="46"/>
        <v>0</v>
      </c>
      <c r="DO24" s="38">
        <f t="shared" si="46"/>
        <v>0</v>
      </c>
      <c r="DP24" s="38">
        <f t="shared" si="46"/>
        <v>0</v>
      </c>
      <c r="DQ24" s="38">
        <f t="shared" si="46"/>
        <v>0</v>
      </c>
      <c r="DR24" s="38">
        <f t="shared" si="46"/>
        <v>0</v>
      </c>
      <c r="DS24" s="38">
        <f t="shared" si="46"/>
        <v>0</v>
      </c>
      <c r="DT24" s="38">
        <f t="shared" si="46"/>
        <v>0</v>
      </c>
      <c r="DU24" s="38">
        <f t="shared" si="46"/>
        <v>0</v>
      </c>
      <c r="DV24" s="38">
        <f t="shared" si="46"/>
        <v>0</v>
      </c>
      <c r="DW24" s="38">
        <f t="shared" si="46"/>
        <v>0</v>
      </c>
      <c r="DX24" s="38">
        <f t="shared" si="46"/>
        <v>0</v>
      </c>
      <c r="DY24" s="38">
        <f t="shared" si="46"/>
        <v>0</v>
      </c>
      <c r="DZ24" s="38">
        <f t="shared" si="46"/>
        <v>0</v>
      </c>
      <c r="EA24" s="38">
        <f t="shared" si="46"/>
        <v>0</v>
      </c>
      <c r="EB24" s="38">
        <f t="shared" si="46"/>
        <v>0</v>
      </c>
      <c r="EC24" s="38">
        <f t="shared" ref="EC24" si="47">SUM(EC19:EC21)</f>
        <v>0</v>
      </c>
    </row>
    <row r="25" spans="1:135" x14ac:dyDescent="0.25">
      <c r="A25" s="10"/>
      <c r="B25" s="10"/>
    </row>
    <row r="26" spans="1:135" s="3" customFormat="1" x14ac:dyDescent="0.25">
      <c r="A26" s="40" t="s">
        <v>34</v>
      </c>
      <c r="B26" s="40"/>
      <c r="C26" s="40"/>
      <c r="D26" s="3">
        <v>2006</v>
      </c>
      <c r="E26" s="3">
        <f>D26+1</f>
        <v>2007</v>
      </c>
      <c r="F26" s="3">
        <f t="shared" ref="F26:T26" si="48">E26+1</f>
        <v>2008</v>
      </c>
      <c r="G26" s="3">
        <f t="shared" si="48"/>
        <v>2009</v>
      </c>
      <c r="H26" s="3">
        <f t="shared" ref="H26" si="49">G26+1</f>
        <v>2010</v>
      </c>
      <c r="I26" s="3">
        <f t="shared" ref="I26" si="50">H26+1</f>
        <v>2011</v>
      </c>
      <c r="J26" s="3">
        <f t="shared" si="48"/>
        <v>2012</v>
      </c>
      <c r="K26" s="3">
        <f t="shared" si="48"/>
        <v>2013</v>
      </c>
      <c r="L26" s="3">
        <f t="shared" si="48"/>
        <v>2014</v>
      </c>
      <c r="M26" s="3">
        <f t="shared" si="48"/>
        <v>2015</v>
      </c>
      <c r="N26" s="3">
        <f t="shared" si="48"/>
        <v>2016</v>
      </c>
      <c r="O26" s="3">
        <f t="shared" si="48"/>
        <v>2017</v>
      </c>
      <c r="P26" s="3">
        <f t="shared" si="48"/>
        <v>2018</v>
      </c>
      <c r="Q26" s="3">
        <f t="shared" si="48"/>
        <v>2019</v>
      </c>
      <c r="R26" s="3">
        <f t="shared" si="48"/>
        <v>2020</v>
      </c>
      <c r="S26" s="3">
        <f t="shared" si="48"/>
        <v>2021</v>
      </c>
      <c r="T26" s="3">
        <f t="shared" si="48"/>
        <v>2022</v>
      </c>
    </row>
    <row r="27" spans="1:135" s="39" customFormat="1" x14ac:dyDescent="0.25">
      <c r="A27" s="39" t="s">
        <v>53</v>
      </c>
      <c r="B27" s="39" t="s">
        <v>14</v>
      </c>
      <c r="C27" s="29" t="s">
        <v>15</v>
      </c>
      <c r="D27" s="49"/>
      <c r="E27" s="49"/>
      <c r="F27" s="49"/>
      <c r="G27" s="49"/>
      <c r="I27" s="50">
        <v>410</v>
      </c>
      <c r="J27" s="50">
        <v>870</v>
      </c>
      <c r="K27" s="50">
        <v>1602</v>
      </c>
      <c r="L27" s="50">
        <v>2318</v>
      </c>
      <c r="M27" s="50">
        <v>3013</v>
      </c>
      <c r="N27" s="50">
        <v>3957</v>
      </c>
      <c r="O27" s="50">
        <v>5201</v>
      </c>
      <c r="P27" s="50">
        <v>6552</v>
      </c>
      <c r="Q27" s="50">
        <v>8186</v>
      </c>
      <c r="R27" s="50">
        <v>9323</v>
      </c>
      <c r="S27" s="49">
        <v>11345</v>
      </c>
      <c r="T27" s="49">
        <v>13782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</row>
    <row r="28" spans="1:135" s="39" customFormat="1" x14ac:dyDescent="0.25">
      <c r="A28" s="39" t="s">
        <v>11</v>
      </c>
      <c r="B28" s="39" t="s">
        <v>14</v>
      </c>
      <c r="C28" s="29" t="s">
        <v>15</v>
      </c>
      <c r="D28" s="49"/>
      <c r="E28" s="49"/>
      <c r="F28" s="49"/>
      <c r="G28" s="49"/>
      <c r="I28" s="50">
        <v>101</v>
      </c>
      <c r="J28" s="50">
        <v>141</v>
      </c>
      <c r="K28" s="50">
        <v>334</v>
      </c>
      <c r="L28" s="50">
        <v>572</v>
      </c>
      <c r="M28" s="50">
        <v>638</v>
      </c>
      <c r="N28" s="50">
        <v>729</v>
      </c>
      <c r="O28" s="50">
        <v>849</v>
      </c>
      <c r="P28" s="50">
        <v>976</v>
      </c>
      <c r="Q28" s="50">
        <v>1055</v>
      </c>
      <c r="R28" s="50">
        <v>1156</v>
      </c>
      <c r="S28" s="49">
        <v>1533</v>
      </c>
      <c r="T28" s="49">
        <v>2143</v>
      </c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</row>
    <row r="29" spans="1:135" s="39" customFormat="1" x14ac:dyDescent="0.25">
      <c r="A29" s="39" t="s">
        <v>51</v>
      </c>
      <c r="B29" s="39" t="s">
        <v>14</v>
      </c>
      <c r="C29" s="29" t="s">
        <v>15</v>
      </c>
      <c r="D29" s="49"/>
      <c r="E29" s="49"/>
      <c r="F29" s="49"/>
      <c r="G29" s="49"/>
      <c r="I29" s="50">
        <v>43</v>
      </c>
      <c r="J29" s="50">
        <v>83</v>
      </c>
      <c r="K29" s="50">
        <v>103</v>
      </c>
      <c r="L29" s="50">
        <v>152</v>
      </c>
      <c r="M29" s="50">
        <v>176</v>
      </c>
      <c r="N29" s="50">
        <v>241</v>
      </c>
      <c r="O29" s="50">
        <v>350</v>
      </c>
      <c r="P29" s="50">
        <v>455</v>
      </c>
      <c r="Q29" s="50">
        <v>614</v>
      </c>
      <c r="R29" s="50">
        <v>796</v>
      </c>
      <c r="S29" s="49">
        <v>1018</v>
      </c>
      <c r="T29" s="49">
        <v>1333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</row>
    <row r="30" spans="1:135" s="39" customFormat="1" x14ac:dyDescent="0.25">
      <c r="A30" s="39" t="s">
        <v>50</v>
      </c>
      <c r="B30" s="39" t="s">
        <v>33</v>
      </c>
      <c r="C30" s="29" t="s">
        <v>33</v>
      </c>
      <c r="D30" s="49"/>
      <c r="E30" s="49"/>
      <c r="F30" s="49"/>
      <c r="G30" s="49"/>
      <c r="I30" s="50">
        <v>1</v>
      </c>
      <c r="J30" s="50">
        <v>3</v>
      </c>
      <c r="K30" s="50">
        <v>5</v>
      </c>
      <c r="L30" s="50">
        <v>8</v>
      </c>
      <c r="M30" s="50">
        <v>10</v>
      </c>
      <c r="N30" s="50">
        <v>14</v>
      </c>
      <c r="O30" s="50">
        <v>40</v>
      </c>
      <c r="P30" s="50">
        <v>43</v>
      </c>
      <c r="Q30" s="50">
        <v>47</v>
      </c>
      <c r="R30" s="50">
        <v>51</v>
      </c>
      <c r="S30" s="49">
        <v>56</v>
      </c>
      <c r="T30" s="49">
        <v>62</v>
      </c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</row>
    <row r="31" spans="1:135" s="39" customFormat="1" x14ac:dyDescent="0.25">
      <c r="A31" s="39" t="s">
        <v>52</v>
      </c>
      <c r="B31" s="39" t="s">
        <v>33</v>
      </c>
      <c r="C31" s="29" t="s">
        <v>33</v>
      </c>
      <c r="D31" s="49"/>
      <c r="E31" s="49"/>
      <c r="F31" s="49"/>
      <c r="G31" s="49"/>
      <c r="I31" s="50">
        <v>3</v>
      </c>
      <c r="J31" s="50">
        <v>7</v>
      </c>
      <c r="K31" s="50">
        <v>11</v>
      </c>
      <c r="L31" s="50">
        <v>14</v>
      </c>
      <c r="M31" s="50">
        <v>16</v>
      </c>
      <c r="N31" s="50">
        <v>19</v>
      </c>
      <c r="O31" s="50">
        <v>23</v>
      </c>
      <c r="P31" s="50">
        <v>28</v>
      </c>
      <c r="Q31" s="50">
        <v>33</v>
      </c>
      <c r="R31" s="50">
        <v>37</v>
      </c>
      <c r="S31" s="49">
        <v>42</v>
      </c>
      <c r="T31" s="49">
        <v>47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</row>
    <row r="32" spans="1:135" s="39" customFormat="1" x14ac:dyDescent="0.25">
      <c r="A32" s="39" t="s">
        <v>32</v>
      </c>
      <c r="D32" s="49"/>
      <c r="E32" s="49"/>
      <c r="F32" s="49"/>
      <c r="G32" s="49"/>
      <c r="I32" s="49">
        <f>SUM(I27:I31)</f>
        <v>558</v>
      </c>
      <c r="J32" s="49">
        <f>SUM(J27:J31)</f>
        <v>1104</v>
      </c>
      <c r="K32" s="49">
        <f t="shared" ref="K32:T32" si="51">SUM(K27:K31)</f>
        <v>2055</v>
      </c>
      <c r="L32" s="49">
        <f t="shared" si="51"/>
        <v>3064</v>
      </c>
      <c r="M32" s="49">
        <f t="shared" si="51"/>
        <v>3853</v>
      </c>
      <c r="N32" s="49">
        <f t="shared" si="51"/>
        <v>4960</v>
      </c>
      <c r="O32" s="49">
        <f t="shared" si="51"/>
        <v>6463</v>
      </c>
      <c r="P32" s="49">
        <f t="shared" si="51"/>
        <v>8054</v>
      </c>
      <c r="Q32" s="49">
        <f t="shared" si="51"/>
        <v>9935</v>
      </c>
      <c r="R32" s="49">
        <f t="shared" si="51"/>
        <v>11363</v>
      </c>
      <c r="S32" s="49">
        <f t="shared" si="51"/>
        <v>13994</v>
      </c>
      <c r="T32" s="49">
        <f t="shared" si="51"/>
        <v>17367</v>
      </c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</row>
    <row r="33" spans="3:18" x14ac:dyDescent="0.25">
      <c r="J33" s="29"/>
      <c r="K33" s="29"/>
      <c r="L33" s="29"/>
      <c r="M33" s="29"/>
      <c r="N33" s="29"/>
      <c r="O33" s="29"/>
      <c r="P33" s="29"/>
      <c r="Q33" s="29"/>
      <c r="R33" s="29"/>
    </row>
    <row r="35" spans="3:18" ht="49.5" customHeight="1" x14ac:dyDescent="0.25"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</row>
    <row r="36" spans="3:18" x14ac:dyDescent="0.25">
      <c r="C36" s="139"/>
      <c r="D36" s="139"/>
      <c r="E36" s="139"/>
    </row>
    <row r="37" spans="3:18" x14ac:dyDescent="0.25">
      <c r="C37" s="139"/>
      <c r="D37" s="139"/>
      <c r="E37" s="139"/>
    </row>
    <row r="38" spans="3:18" x14ac:dyDescent="0.25">
      <c r="C38" s="139"/>
      <c r="D38" s="139"/>
      <c r="E38" s="139"/>
    </row>
    <row r="39" spans="3:18" x14ac:dyDescent="0.25">
      <c r="C39" s="139"/>
      <c r="D39" s="139"/>
      <c r="E39" s="139"/>
    </row>
    <row r="40" spans="3:18" x14ac:dyDescent="0.25">
      <c r="C40" s="139"/>
      <c r="D40" s="139"/>
      <c r="E40" s="139"/>
    </row>
    <row r="41" spans="3:18" x14ac:dyDescent="0.25">
      <c r="C41" s="139"/>
      <c r="D41" s="139"/>
      <c r="E41" s="139"/>
    </row>
    <row r="42" spans="3:18" x14ac:dyDescent="0.25">
      <c r="C42" s="139"/>
      <c r="D42" s="139"/>
      <c r="E42" s="139"/>
    </row>
    <row r="43" spans="3:18" x14ac:dyDescent="0.25">
      <c r="C43" s="139"/>
      <c r="D43" s="139"/>
      <c r="E43" s="139"/>
    </row>
    <row r="44" spans="3:18" x14ac:dyDescent="0.25">
      <c r="C44" s="139"/>
      <c r="D44" s="139"/>
      <c r="E44" s="139"/>
    </row>
    <row r="45" spans="3:18" x14ac:dyDescent="0.25">
      <c r="C45" s="139"/>
      <c r="D45" s="139"/>
      <c r="E45" s="139"/>
    </row>
    <row r="46" spans="3:18" x14ac:dyDescent="0.25">
      <c r="C46" s="139"/>
      <c r="D46" s="139"/>
      <c r="E46" s="139"/>
    </row>
    <row r="47" spans="3:18" x14ac:dyDescent="0.25">
      <c r="C47" s="139"/>
      <c r="D47" s="139"/>
      <c r="E47" s="139"/>
    </row>
    <row r="48" spans="3:18" x14ac:dyDescent="0.25">
      <c r="C48" s="139"/>
      <c r="D48" s="139"/>
      <c r="E48" s="139"/>
    </row>
    <row r="49" spans="3:5" x14ac:dyDescent="0.25">
      <c r="C49" s="139"/>
      <c r="D49" s="139"/>
      <c r="E49" s="139"/>
    </row>
    <row r="50" spans="3:5" x14ac:dyDescent="0.25">
      <c r="C50" s="139"/>
      <c r="D50" s="139"/>
      <c r="E50" s="139"/>
    </row>
    <row r="51" spans="3:5" x14ac:dyDescent="0.25">
      <c r="C51" s="139"/>
      <c r="D51" s="139"/>
      <c r="E51" s="139"/>
    </row>
    <row r="52" spans="3:5" x14ac:dyDescent="0.25">
      <c r="C52" s="139"/>
      <c r="D52" s="139"/>
      <c r="E52" s="139"/>
    </row>
    <row r="53" spans="3:5" x14ac:dyDescent="0.25">
      <c r="C53" s="139"/>
      <c r="D53" s="139"/>
      <c r="E53" s="139"/>
    </row>
    <row r="54" spans="3:5" x14ac:dyDescent="0.25">
      <c r="C54" s="139"/>
      <c r="D54" s="139"/>
      <c r="E54" s="139"/>
    </row>
    <row r="55" spans="3:5" x14ac:dyDescent="0.25">
      <c r="C55" s="139"/>
      <c r="D55" s="139"/>
      <c r="E55" s="139"/>
    </row>
    <row r="56" spans="3:5" x14ac:dyDescent="0.25">
      <c r="C56" s="139"/>
      <c r="D56" s="139"/>
      <c r="E56" s="139"/>
    </row>
    <row r="57" spans="3:5" x14ac:dyDescent="0.25">
      <c r="C57" s="139"/>
      <c r="D57" s="139"/>
      <c r="E57" s="139"/>
    </row>
  </sheetData>
  <mergeCells count="2">
    <mergeCell ref="C36:E57"/>
    <mergeCell ref="F35:P35"/>
  </mergeCells>
  <hyperlinks>
    <hyperlink ref="B4" r:id="rId1" xr:uid="{D68FC7E6-AE15-4E3C-BD69-722BADC4AD97}"/>
    <hyperlink ref="A1" r:id="rId2" xr:uid="{23F5A496-6444-4304-A3B7-7D0E3DF761C6}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3411-06AB-4439-9CC3-C3E102E40489}">
  <sheetPr codeName="Sheet5"/>
  <dimension ref="A1:U8"/>
  <sheetViews>
    <sheetView zoomScaleNormal="100" workbookViewId="0"/>
  </sheetViews>
  <sheetFormatPr defaultRowHeight="15" x14ac:dyDescent="0.25"/>
  <cols>
    <col min="1" max="1" width="38.28515625" customWidth="1"/>
    <col min="21" max="21" width="100" customWidth="1"/>
  </cols>
  <sheetData>
    <row r="1" spans="1:21" ht="15.75" x14ac:dyDescent="0.25">
      <c r="A1" s="5" t="s">
        <v>6</v>
      </c>
    </row>
    <row r="4" spans="1:21" s="3" customFormat="1" x14ac:dyDescent="0.25">
      <c r="D4" s="3">
        <v>2006</v>
      </c>
      <c r="E4" s="3">
        <f>D4+1</f>
        <v>2007</v>
      </c>
      <c r="F4" s="3">
        <f t="shared" ref="F4:R4" si="0">E4+1</f>
        <v>2008</v>
      </c>
      <c r="G4" s="3">
        <f t="shared" si="0"/>
        <v>2009</v>
      </c>
      <c r="H4" s="3">
        <f t="shared" si="0"/>
        <v>2010</v>
      </c>
      <c r="I4" s="3">
        <f t="shared" si="0"/>
        <v>2011</v>
      </c>
      <c r="J4" s="3">
        <f t="shared" si="0"/>
        <v>2012</v>
      </c>
      <c r="K4" s="3">
        <f t="shared" si="0"/>
        <v>2013</v>
      </c>
      <c r="L4" s="3">
        <f t="shared" si="0"/>
        <v>2014</v>
      </c>
      <c r="M4" s="3">
        <f t="shared" si="0"/>
        <v>2015</v>
      </c>
      <c r="N4" s="3">
        <f t="shared" si="0"/>
        <v>2016</v>
      </c>
      <c r="O4" s="3">
        <f t="shared" si="0"/>
        <v>2017</v>
      </c>
      <c r="P4" s="3">
        <f t="shared" si="0"/>
        <v>2018</v>
      </c>
      <c r="Q4" s="3">
        <f t="shared" si="0"/>
        <v>2019</v>
      </c>
      <c r="R4" s="3">
        <f t="shared" si="0"/>
        <v>2020</v>
      </c>
    </row>
    <row r="5" spans="1:21" ht="45" x14ac:dyDescent="0.25">
      <c r="A5" s="14" t="s">
        <v>39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7" spans="1:21" ht="79.5" customHeight="1" x14ac:dyDescent="0.25">
      <c r="T7" s="52"/>
      <c r="U7" s="51"/>
    </row>
    <row r="8" spans="1:21" ht="343.5" customHeight="1" x14ac:dyDescent="0.25">
      <c r="T8" s="53"/>
      <c r="U8" s="52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50" ma:contentTypeDescription="Create a new document." ma:contentTypeScope="" ma:versionID="50cb231b45d49db510d8fd7c0a55ecad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b4540b96984ca5d619a4e6235a9f6ccf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Metric_x0020_Name" minOccurs="0"/>
                <xsd:element ref="ns3:Reporting_x0020_Frequency" minOccurs="0"/>
                <xsd:element ref="ns3:Report_x0020_Type" minOccurs="0"/>
                <xsd:element ref="ns3:Reported_x0020_Metric" minOccurs="0"/>
                <xsd:element ref="ns3:RMM" minOccurs="0"/>
                <xsd:element ref="ns1:PublishingStartDate" minOccurs="0"/>
                <xsd:element ref="ns1:PublishingExpirationDate" minOccurs="0"/>
                <xsd:element ref="ns3:RMM_x003a_Secondary_x0020_Report_x0020_Frequency" minOccurs="0"/>
                <xsd:element ref="ns3:RMM_x003a_Metric_x0020_Name" minOccurs="0"/>
                <xsd:element ref="ns3:RMM_x003a_Report_x0020_Frequency" minOccurs="0"/>
                <xsd:element ref="ns3:RMM_x003a_OC" minOccurs="0"/>
                <xsd:element ref="ns3:RMM_x003a_Reported_x0020_Metric" minOccurs="0"/>
                <xsd:element ref="ns3:RMM_x003a_PBR_x0020_Outcome" minOccurs="0"/>
                <xsd:element ref="ns3:RMM_x003a_Document_x0020_Name" minOccurs="0"/>
                <xsd:element ref="ns3:RMM_x003a_Report_x0020_Type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8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9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0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32" nillable="true" ma:displayName="Taxonomy Catch All Column" ma:hidden="true" ma:list="{8e3a9e49-f2bc-41c4-9b38-5f72ab4eb4f2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1" nillable="true" ma:displayName="PBR Outcome" ma:description="PBR Reporting Area" ma:internalName="Reporting_x0020_Area" ma:readOnly="false">
      <xsd:simpleType>
        <xsd:restriction base="dms:Text">
          <xsd:maxLength value="255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Metric_x0020_Name" ma:index="13" nillable="true" ma:displayName="Metric Name" ma:description="Specific Metric Reported by the Document" ma:internalName="Metric_x0020_Name" ma:readOnly="false">
      <xsd:simpleType>
        <xsd:restriction base="dms:Text">
          <xsd:maxLength value="255"/>
        </xsd:restriction>
      </xsd:simpleType>
    </xsd:element>
    <xsd:element name="Reporting_x0020_Frequency" ma:index="14" nillable="true" ma:displayName="Reporting Frequency" ma:description="1 Quarterly&#10;2 Semi-Annual&#10;3 Annual&#10;z None" ma:internalName="Reporting_x0020_Frequency" ma:readOnly="false">
      <xsd:simpleType>
        <xsd:restriction base="dms:Text">
          <xsd:maxLength value="255"/>
        </xsd:restriction>
      </xsd:simpleType>
    </xsd:element>
    <xsd:element name="Report_x0020_Type" ma:index="15" nillable="true" ma:displayName="Report Type" ma:internalName="Report_x0020_Type" ma:readOnly="false">
      <xsd:simpleType>
        <xsd:restriction base="dms:Text">
          <xsd:maxLength value="255"/>
        </xsd:restriction>
      </xsd:simpleType>
    </xsd:element>
    <xsd:element name="Reported_x0020_Metric" ma:index="16" nillable="true" ma:displayName="Reported Metric" ma:default="N/A" ma:description="Reported Metric" ma:internalName="Reported_x0020_Metr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1a LMI Energy Burden"/>
                    <xsd:enumeration value="01b Payment Arrangement"/>
                    <xsd:enumeration value="01c Disconnections"/>
                    <xsd:enumeration value="02a Credit Ratings"/>
                    <xsd:enumeration value="02b Third-Party Generation"/>
                    <xsd:enumeration value="03a Cost Control for Non-ARA Components"/>
                    <xsd:enumeration value="03b Rate Base per Customer"/>
                    <xsd:enumeration value="03c O&amp;M cost per Customer"/>
                    <xsd:enumeration value="03d Annual Revenue Growth"/>
                    <xsd:enumeration value="04a Program Participation"/>
                    <xsd:enumeration value="04b Green Button Connect My Data"/>
                    <xsd:enumeration value="04c Green Button Download My Data"/>
                    <xsd:enumeration value="04d TOU Participation"/>
                    <xsd:enumeration value="04e AMI Opt-Out"/>
                    <xsd:enumeration value="05a LMI Program Participation"/>
                    <xsd:enumeration value="06a DER Grid Services Capability"/>
                    <xsd:enumeration value="06b DER Grid Services Enrollment"/>
                    <xsd:enumeration value="06c DER Grid Services Utilization"/>
                    <xsd:enumeration value="06d DER Curtailment"/>
                    <xsd:enumeration value="07a Fleet Electrification"/>
                    <xsd:enumeration value="07b Measured EV Load (Energy)"/>
                    <xsd:enumeration value="07c Measured EV Load (Demand)"/>
                    <xsd:enumeration value="07d Estimated EV Load"/>
                    <xsd:enumeration value="07e EV Count"/>
                    <xsd:enumeration value="07f Ride Share Fueling Hubs"/>
                    <xsd:enumeration value="08a GHG Emissions"/>
                    <xsd:enumeration value="08b GHG Intensity"/>
                    <xsd:enumeration value="09a Avoided T&amp;D Investment"/>
                    <xsd:enumeration value="09b NWA Total Cost"/>
                    <xsd:enumeration value="10a Total DER Interconnection Time"/>
                    <xsd:enumeration value="10b N/A - Reserved for future scorecard"/>
                    <xsd:enumeration value="10c Truck Roll Response Time"/>
                    <xsd:enumeration value="10d IPP Interconnection"/>
                    <xsd:enumeration value="10e Interconnection Cost Overrun"/>
                    <xsd:enumeration value="11a Critical Load"/>
                    <xsd:enumeration value="11b NIMS Certification"/>
                    <xsd:enumeration value="11c Emergency Response Training"/>
                    <xsd:enumeration value="N/A List of Additional Reports"/>
                    <xsd:enumeration value="N/A"/>
                  </xsd:restriction>
                </xsd:simpleType>
              </xsd:element>
            </xsd:sequence>
          </xsd:extension>
        </xsd:complexContent>
      </xsd:complexType>
    </xsd:element>
    <xsd:element name="RMM" ma:index="17" nillable="true" ma:displayName="RMM" ma:description="Reported Metric Attributes" ma:list="{fbae5abc-f769-442a-b1b7-59f63b6780d5}" ma:internalName="RMM" ma:readOnly="false" ma:showField="Doc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Secondary_x0020_Report_x0020_Frequency" ma:index="20" nillable="true" ma:displayName="RMM:Secondary Report Frequency" ma:list="{fbae5abc-f769-442a-b1b7-59f63b6780d5}" ma:internalName="RMM_x003a_Secondary_x0020_Report_x0020_Frequency" ma:readOnly="true" ma:showField="Sec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Metric_x0020_Name" ma:index="21" nillable="true" ma:displayName="RMM:Metric Name" ma:list="{fbae5abc-f769-442a-b1b7-59f63b6780d5}" ma:internalName="RMM_x003a_Metric_x0020_Name" ma:readOnly="true" ma:showField="Metri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Frequency" ma:index="22" nillable="true" ma:displayName="RMM:Report Frequency" ma:list="{fbae5abc-f769-442a-b1b7-59f63b6780d5}" ma:internalName="RMM_x003a_Report_x0020_Frequency" ma:readOnly="true" ma:showField="RepFreq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OC" ma:index="23" nillable="true" ma:displayName="RMM:OC" ma:list="{fbae5abc-f769-442a-b1b7-59f63b6780d5}" ma:internalName="RMM_x003a_OC" ma:readOnly="true" ma:showField="O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ed_x0020_Metric" ma:index="24" nillable="true" ma:displayName="RMM:Reported Metric" ma:list="{fbae5abc-f769-442a-b1b7-59f63b6780d5}" ma:internalName="RMM_x003a_Reported_x0020_Metric" ma:readOnly="true" ma:showField="RepMetric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PBR_x0020_Outcome" ma:index="25" nillable="true" ma:displayName="RMM:PBR Outcome" ma:list="{fbae5abc-f769-442a-b1b7-59f63b6780d5}" ma:internalName="RMM_x003a_PBR_x0020_Outcome" ma:readOnly="true" ma:showField="Titl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Document_x0020_Name" ma:index="26" nillable="true" ma:displayName="RMM:Document Name" ma:list="{fbae5abc-f769-442a-b1b7-59f63b6780d5}" ma:internalName="RMM_x003a_Document_x0020_Name" ma:readOnly="true" ma:showField="DocNam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MM_x003a_Report_x0020_Type" ma:index="27" nillable="true" ma:displayName="RMM:Report Type" ma:list="{fbae5abc-f769-442a-b1b7-59f63b6780d5}" ma:internalName="RMM_x003a_Report_x0020_Type" ma:readOnly="true" ma:showField="RepType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Reporting_x0020_Frequency xmlns="d308fceb-9ca2-4f99-a260-64602f61e6f4">3 Annual</Reporting_x0020_Frequency>
    <RMM xmlns="d308fceb-9ca2-4f99-a260-64602f61e6f4">
      <Value>28</Value>
    </RMM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Report_x0020_Type xmlns="d308fceb-9ca2-4f99-a260-64602f61e6f4">Scorecard; Reported Metric;</Report_x0020_Type>
    <Metric_x0020_Name xmlns="d308fceb-9ca2-4f99-a260-64602f61e6f4">Measured EV Load (Energy); Measured EV Load (Demand); Estimated EV Load; EV Count; Ride Share Fueling Hubs;</Metric_x0020_Name>
    <Reported_x0020_Metric xmlns="d308fceb-9ca2-4f99-a260-64602f61e6f4">
      <Value>07b Measured EV Load (Energy)</Value>
      <Value>07c Measured EV Load (Demand)</Value>
      <Value>07d Estimated EV Load</Value>
      <Value>07e EV Count</Value>
      <Value>07f Ride Share Fueling Hubs</Value>
    </Reported_x0020_Metric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07 Electrification of Transportation</Reporting_x0020_Area>
  </documentManagement>
</p:properties>
</file>

<file path=customXml/itemProps1.xml><?xml version="1.0" encoding="utf-8"?>
<ds:datastoreItem xmlns:ds="http://schemas.openxmlformats.org/officeDocument/2006/customXml" ds:itemID="{8582C50C-B14C-419D-9B9E-F1294D7F4F98}"/>
</file>

<file path=customXml/itemProps2.xml><?xml version="1.0" encoding="utf-8"?>
<ds:datastoreItem xmlns:ds="http://schemas.openxmlformats.org/officeDocument/2006/customXml" ds:itemID="{6DCA562A-B34F-4A70-9380-E22F14FBC0E0}"/>
</file>

<file path=customXml/itemProps3.xml><?xml version="1.0" encoding="utf-8"?>
<ds:datastoreItem xmlns:ds="http://schemas.openxmlformats.org/officeDocument/2006/customXml" ds:itemID="{E248A1B0-1535-4340-A075-39DFD79AE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07b_ev_load_kwh</vt:lpstr>
      <vt:lpstr>07c_ev_load_demand_kw</vt:lpstr>
      <vt:lpstr>07d_estimate_total_ev_load_kwh</vt:lpstr>
      <vt:lpstr>07e_ev_count</vt:lpstr>
      <vt:lpstr>07f_rideshare_fueling_hubs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2023-03-02T17:35:35Z</dcterms:created>
  <dcterms:modified xsi:type="dcterms:W3CDTF">2023-03-02T17:37:16Z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Secondary Reporting Fewuency">
    <vt:lpwstr>None</vt:lpwstr>
  </property>
  <property fmtid="{D5CDD505-2E9C-101B-9397-08002B2CF9AE}" pid="5" name="_dlc_DocIdItemGuid">
    <vt:lpwstr>b8ecc570-e325-4236-90f4-2ff53eb242ec</vt:lpwstr>
  </property>
  <property fmtid="{D5CDD505-2E9C-101B-9397-08002B2CF9AE}" pid="6" name="URL">
    <vt:lpwstr/>
  </property>
</Properties>
</file>