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7E20806-D406-4615-8AA4-AE26ABE750F0}" xr6:coauthVersionLast="47" xr6:coauthVersionMax="47" xr10:uidLastSave="{00000000-0000-0000-0000-000000000000}"/>
  <bookViews>
    <workbookView xWindow="31290" yWindow="1890" windowWidth="20370" windowHeight="16335" firstSheet="1" activeTab="3" xr2:uid="{E27DC00B-A092-4157-8728-38D685112921}"/>
  </bookViews>
  <sheets>
    <sheet name="#10d Summary Tables" sheetId="11" r:id="rId1"/>
    <sheet name="#10d Interconnection Costs" sheetId="7" r:id="rId2"/>
    <sheet name="#10d Interconnection Time" sheetId="5" r:id="rId3"/>
    <sheet name="#10e Interconnection Cost Overr" sheetId="2" r:id="rId4"/>
  </sheets>
  <definedNames>
    <definedName name="_xlnm._FilterDatabase" localSheetId="1" hidden="1">'#10d Interconnection Costs'!$A$6:$T$34</definedName>
    <definedName name="_xlnm._FilterDatabase" localSheetId="2" hidden="1">'#10d Interconnection Time'!$A$5:$Y$34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2" l="1"/>
  <c r="P20" i="7"/>
  <c r="E29" i="11" l="1"/>
  <c r="E27" i="11"/>
  <c r="E26" i="11"/>
  <c r="C29" i="11"/>
  <c r="M32" i="7"/>
  <c r="M31" i="7"/>
  <c r="P19" i="7"/>
  <c r="C31" i="11"/>
  <c r="C27" i="11"/>
  <c r="C26" i="11"/>
  <c r="E9" i="11"/>
  <c r="E8" i="11"/>
  <c r="E7" i="11"/>
  <c r="E6" i="11"/>
  <c r="M34" i="7" l="1"/>
  <c r="M33" i="7"/>
  <c r="M30" i="7"/>
  <c r="M29" i="7"/>
  <c r="M28" i="7"/>
  <c r="M27" i="7"/>
  <c r="M23" i="7"/>
  <c r="M22" i="7"/>
  <c r="M21" i="7"/>
  <c r="M20" i="7"/>
  <c r="M19" i="7"/>
  <c r="M18" i="7"/>
  <c r="M17" i="7"/>
  <c r="M16" i="7"/>
  <c r="M15" i="7"/>
  <c r="P33" i="7"/>
  <c r="C12" i="11" s="1"/>
  <c r="P17" i="7"/>
  <c r="P27" i="7"/>
  <c r="P28" i="7"/>
  <c r="C10" i="11" s="1"/>
  <c r="T14" i="7"/>
  <c r="P14" i="7"/>
  <c r="T13" i="7"/>
  <c r="P13" i="7"/>
  <c r="T12" i="7"/>
  <c r="P12" i="7"/>
  <c r="C6" i="11" s="1"/>
  <c r="T26" i="7"/>
  <c r="P26" i="7"/>
  <c r="T11" i="7"/>
  <c r="P11" i="7"/>
  <c r="T10" i="7"/>
  <c r="P10" i="7"/>
  <c r="T9" i="7"/>
  <c r="P9" i="7"/>
  <c r="T25" i="7"/>
  <c r="P25" i="7"/>
  <c r="T24" i="7"/>
  <c r="P24" i="7"/>
  <c r="C9" i="11" s="1"/>
  <c r="T8" i="7"/>
  <c r="P8" i="7"/>
  <c r="T7" i="7"/>
  <c r="P7" i="7"/>
  <c r="Y14" i="5"/>
  <c r="U17" i="5"/>
  <c r="U18" i="5"/>
  <c r="T18" i="5"/>
  <c r="Y7" i="5"/>
  <c r="Y8" i="5"/>
  <c r="Y9" i="5"/>
  <c r="Y10" i="5"/>
  <c r="Y11" i="5"/>
  <c r="Y12" i="5"/>
  <c r="Y13" i="5"/>
  <c r="T16" i="5"/>
  <c r="Y24" i="5"/>
  <c r="Y25" i="5"/>
  <c r="Y26" i="5"/>
  <c r="T28" i="5"/>
  <c r="T29" i="5"/>
  <c r="T33" i="5"/>
  <c r="U33" i="5"/>
  <c r="T34" i="5"/>
  <c r="U34" i="5"/>
  <c r="C8" i="11" l="1"/>
  <c r="C7" i="11"/>
  <c r="D8" i="2"/>
  <c r="D7" i="2"/>
  <c r="D6" i="2"/>
  <c r="D5" i="2"/>
</calcChain>
</file>

<file path=xl/sharedStrings.xml><?xml version="1.0" encoding="utf-8"?>
<sst xmlns="http://schemas.openxmlformats.org/spreadsheetml/2006/main" count="639" uniqueCount="174">
  <si>
    <t>Tech</t>
  </si>
  <si>
    <t>PV</t>
  </si>
  <si>
    <t>As-Avail</t>
  </si>
  <si>
    <t>AES Kuihelani</t>
  </si>
  <si>
    <t>AES Waikoloa Solar, LLC</t>
  </si>
  <si>
    <t>AES West Oahu Solar, LLC</t>
  </si>
  <si>
    <t>Hale Kuawehi Solar LLC</t>
  </si>
  <si>
    <t>Ho'ohana Solar 1, LLC</t>
  </si>
  <si>
    <t>Kupehau Solar</t>
  </si>
  <si>
    <t>60MW/240MWh</t>
  </si>
  <si>
    <t>Mahi Solar, LLC</t>
  </si>
  <si>
    <t>120MW/480MWh</t>
  </si>
  <si>
    <t>Maui 17-1 LLC</t>
  </si>
  <si>
    <t>Mililani I Solar, LLC</t>
  </si>
  <si>
    <t>Mountain View Solar</t>
  </si>
  <si>
    <t>7MW/35MWh</t>
  </si>
  <si>
    <t>Paeahu Solar LLC</t>
  </si>
  <si>
    <t>Pulehu Solar</t>
  </si>
  <si>
    <t>40MW/160MWh</t>
  </si>
  <si>
    <t>Waiawa Phase 2 Solar</t>
  </si>
  <si>
    <t>30MW/240MWh</t>
  </si>
  <si>
    <t>Waiawa Solar Power LLC</t>
  </si>
  <si>
    <t>Kapolei Energy Storage</t>
  </si>
  <si>
    <t>Island</t>
  </si>
  <si>
    <t>Project Name</t>
  </si>
  <si>
    <t>Maui</t>
  </si>
  <si>
    <t xml:space="preserve">Hawaii </t>
  </si>
  <si>
    <t>Oahu</t>
  </si>
  <si>
    <t>PV + BESS</t>
  </si>
  <si>
    <t>RDG</t>
  </si>
  <si>
    <t>BESS</t>
  </si>
  <si>
    <t>46 KV</t>
  </si>
  <si>
    <t>138 KV</t>
  </si>
  <si>
    <t>36 MW/144MWh</t>
  </si>
  <si>
    <t>Year</t>
  </si>
  <si>
    <t># of PPAs Completed</t>
  </si>
  <si>
    <t>Contract Type</t>
  </si>
  <si>
    <t>Waianae Solar</t>
  </si>
  <si>
    <t>Aloha Solar 15-01</t>
  </si>
  <si>
    <t>South Maui Renewable Resources</t>
  </si>
  <si>
    <t>Kuia Solar</t>
  </si>
  <si>
    <t>Lanikuhana Solar</t>
  </si>
  <si>
    <t>Waipio PV</t>
  </si>
  <si>
    <t>Kawailoa Solar</t>
  </si>
  <si>
    <t xml:space="preserve">Maui 17-2 </t>
  </si>
  <si>
    <t>Aloha Solar 15-02</t>
  </si>
  <si>
    <t>Mauka FIT 14-01</t>
  </si>
  <si>
    <t>Na Pua Makani</t>
  </si>
  <si>
    <t>Wind</t>
  </si>
  <si>
    <t>12 KV</t>
  </si>
  <si>
    <t>N/A</t>
  </si>
  <si>
    <t>69 KV</t>
  </si>
  <si>
    <t>Actual Interconnection Facility Costs</t>
  </si>
  <si>
    <t>Company</t>
  </si>
  <si>
    <t>Developer</t>
  </si>
  <si>
    <t>30MW/120MWh</t>
  </si>
  <si>
    <t>30MW/120 MWh</t>
  </si>
  <si>
    <t xml:space="preserve">Step 6
File IRS Amendment to Receive Approval to Construct Line Extension (Months)                 </t>
  </si>
  <si>
    <t>12.5/50 MWh</t>
  </si>
  <si>
    <t>52/208 MWh</t>
  </si>
  <si>
    <t>39 MW/156 MWh</t>
  </si>
  <si>
    <t>15 MW/60 MWh</t>
  </si>
  <si>
    <t>60 MW/240 MWh</t>
  </si>
  <si>
    <t>Notes:</t>
  </si>
  <si>
    <t>FIT As-Avail</t>
  </si>
  <si>
    <t>RAP</t>
  </si>
  <si>
    <t>Facility Study (FS) Deposit</t>
  </si>
  <si>
    <t>FS Actual Cost, including PUC/PSC Taxes</t>
  </si>
  <si>
    <t>SIS Actual Cost, including PUC/PSC Taxes</t>
  </si>
  <si>
    <t xml:space="preserve">SIS Additional Payments </t>
  </si>
  <si>
    <r>
      <t>RFP Unit Cost</t>
    </r>
    <r>
      <rPr>
        <vertAlign val="superscript"/>
        <sz val="8"/>
        <color rgb="FF000000"/>
        <rFont val="Arial"/>
        <family val="2"/>
      </rPr>
      <t xml:space="preserve"> 1</t>
    </r>
  </si>
  <si>
    <t xml:space="preserve">Step 5
Execution of IRS Amendment to Filing of IRS Amendment and Line Approval (Months) </t>
  </si>
  <si>
    <t>Inter-connection Voltage</t>
  </si>
  <si>
    <t>FS Additional Payments</t>
  </si>
  <si>
    <r>
      <t>Company Costs for Company-Owned Interconnection Facility</t>
    </r>
    <r>
      <rPr>
        <vertAlign val="superscript"/>
        <sz val="8"/>
        <color rgb="FF000000"/>
        <rFont val="Arial"/>
        <family val="2"/>
      </rPr>
      <t>3</t>
    </r>
  </si>
  <si>
    <r>
      <t>Company or Developer Constructed</t>
    </r>
    <r>
      <rPr>
        <b/>
        <vertAlign val="superscript"/>
        <sz val="8"/>
        <color rgb="FF000000"/>
        <rFont val="Arial"/>
        <family val="2"/>
      </rPr>
      <t>4</t>
    </r>
  </si>
  <si>
    <t xml:space="preserve"> </t>
  </si>
  <si>
    <t>Step 4
Presentation of Final IRS Results to Acceptance by Developer
(Months)</t>
  </si>
  <si>
    <t>Step 4a
Acceptance of IRS to Execution of IRS Amendment 
(Months)</t>
  </si>
  <si>
    <r>
      <rPr>
        <vertAlign val="superscript"/>
        <sz val="8"/>
        <rFont val="Arial"/>
        <family val="2"/>
      </rPr>
      <t>3</t>
    </r>
    <r>
      <rPr>
        <sz val="10"/>
        <rFont val="Arial"/>
        <family val="2"/>
      </rPr>
      <t xml:space="preserve"> As set forth in the Companies' Refined Proposal filed on March 16, 2021 in Docket 2018-0088, "For purposes of this Scorecard, the Companies have interpreted “cost to connect to the network” as the cost for Company-owned interconnection facilities paid for by the IPP, but developed by the utility" (page 26)</t>
    </r>
  </si>
  <si>
    <t>Total Time from PPA Execution to Commercial Operations (Months)</t>
  </si>
  <si>
    <r>
      <rPr>
        <vertAlign val="superscript"/>
        <sz val="10"/>
        <color rgb="FF000000"/>
        <rFont val="Arial"/>
        <family val="2"/>
      </rPr>
      <t>1</t>
    </r>
    <r>
      <rPr>
        <sz val="10"/>
        <color indexed="8"/>
        <rFont val="Arial"/>
        <family val="2"/>
      </rPr>
      <t>The Interconnection Requirements Study ("IRS") includes both the System Impact Study ("SIS") and Facility Study ("FS") components.</t>
    </r>
  </si>
  <si>
    <r>
      <t>Company/Developer</t>
    </r>
    <r>
      <rPr>
        <b/>
        <vertAlign val="superscript"/>
        <sz val="10"/>
        <color rgb="FF000000"/>
        <rFont val="Arial"/>
        <family val="2"/>
      </rPr>
      <t>2</t>
    </r>
  </si>
  <si>
    <r>
      <rPr>
        <vertAlign val="superscript"/>
        <sz val="10"/>
        <color rgb="FF000000"/>
        <rFont val="Arial"/>
        <family val="2"/>
      </rPr>
      <t>2</t>
    </r>
    <r>
      <rPr>
        <sz val="10"/>
        <color indexed="8"/>
        <rFont val="Arial"/>
        <family val="2"/>
      </rPr>
      <t>Step 4a covers negotiation of the IRS Amendment between the Company and Developer so it is not possible to accurately attribute time to one party or the other.</t>
    </r>
  </si>
  <si>
    <r>
      <t>Total  (Steps 1-7)   From Request of IRS Data to Commercial Operations</t>
    </r>
    <r>
      <rPr>
        <b/>
        <vertAlign val="superscript"/>
        <sz val="10"/>
        <color rgb="FF000000"/>
        <rFont val="Arial"/>
        <family val="2"/>
      </rPr>
      <t>3</t>
    </r>
    <r>
      <rPr>
        <b/>
        <sz val="10"/>
        <color indexed="8"/>
        <rFont val="Arial"/>
        <family val="2"/>
      </rPr>
      <t xml:space="preserve"> (Months)</t>
    </r>
  </si>
  <si>
    <r>
      <rPr>
        <vertAlign val="superscript"/>
        <sz val="10"/>
        <color rgb="FF000000"/>
        <rFont val="Arial"/>
        <family val="2"/>
      </rPr>
      <t>3</t>
    </r>
    <r>
      <rPr>
        <sz val="10"/>
        <color indexed="8"/>
        <rFont val="Arial"/>
        <family val="2"/>
      </rPr>
      <t>Total time in Column W is not the sum of Steps 1-7 as Steps 1 and 1a, and Steps 2 and 2a happen in parallel.</t>
    </r>
  </si>
  <si>
    <r>
      <rPr>
        <vertAlign val="superscript"/>
        <sz val="8"/>
        <rFont val="Arial"/>
        <family val="2"/>
      </rPr>
      <t xml:space="preserve">1 </t>
    </r>
    <r>
      <rPr>
        <sz val="10"/>
        <rFont val="Arial"/>
        <family val="2"/>
      </rPr>
      <t>This RFP Unit Cost pertains to the Company's portion of the Company-Owned Interconnection Facilities (COIF). For the Stage 1 and Stage 2 projects, the RFP Unit Cost provided in Appendix H of the RFP were based on the scenario where the Company would build the COIF. However, in Stage 1, most of the projects selected developer-build and in Stage 2, projects were required to be developer-build so the costs in Appendix H may not be applicable to the Stage 1 and Stage 2 projects. See also Note 4 below.</t>
    </r>
  </si>
  <si>
    <r>
      <rPr>
        <vertAlign val="superscript"/>
        <sz val="8"/>
        <rFont val="Arial"/>
        <family val="2"/>
      </rPr>
      <t>4</t>
    </r>
    <r>
      <rPr>
        <sz val="10"/>
        <rFont val="Arial"/>
        <family val="2"/>
      </rPr>
      <t xml:space="preserve"> Even if the project selects Developer-build, a portion of the COIF work still remains with the Company. For Developer-build projects, the cost reflected in this spreadsheet is for the COIF work that remains with the Company. It does not reflect the cost incurred by the Developer to engineer, procure and construct the COIF as this information is not provided by the Developers to the Companies.</t>
    </r>
  </si>
  <si>
    <r>
      <t>Estimated Interconnection Facility Costs</t>
    </r>
    <r>
      <rPr>
        <b/>
        <vertAlign val="superscript"/>
        <sz val="10"/>
        <color rgb="FF000000"/>
        <rFont val="Arial"/>
        <family val="2"/>
      </rPr>
      <t>5</t>
    </r>
  </si>
  <si>
    <r>
      <rPr>
        <vertAlign val="superscript"/>
        <sz val="8"/>
        <rFont val="Arial"/>
        <family val="2"/>
      </rPr>
      <t xml:space="preserve">5 </t>
    </r>
    <r>
      <rPr>
        <sz val="10"/>
        <rFont val="Arial"/>
        <family val="2"/>
      </rPr>
      <t>This number reflects the estimate in the executed IRS Amendment.</t>
    </r>
  </si>
  <si>
    <r>
      <t>Interconnection Requirements Study</t>
    </r>
    <r>
      <rPr>
        <b/>
        <vertAlign val="superscript"/>
        <sz val="10"/>
        <color rgb="FF000000"/>
        <rFont val="Arial"/>
        <family val="2"/>
      </rPr>
      <t>2</t>
    </r>
    <r>
      <rPr>
        <b/>
        <sz val="10"/>
        <color indexed="8"/>
        <rFont val="Arial"/>
        <family val="2"/>
      </rPr>
      <t xml:space="preserve">
Advanced Payments</t>
    </r>
  </si>
  <si>
    <r>
      <t>Interconnection Requirements Study</t>
    </r>
    <r>
      <rPr>
        <b/>
        <vertAlign val="superscript"/>
        <sz val="10"/>
        <color rgb="FF000000"/>
        <rFont val="Arial"/>
        <family val="2"/>
      </rPr>
      <t>2</t>
    </r>
    <r>
      <rPr>
        <b/>
        <sz val="10"/>
        <color indexed="8"/>
        <rFont val="Arial"/>
        <family val="2"/>
      </rPr>
      <t xml:space="preserve"> 
Actual Costs</t>
    </r>
  </si>
  <si>
    <t>Commercial
Operations
Date</t>
  </si>
  <si>
    <t>Inter-
connection
Voltage</t>
  </si>
  <si>
    <t>Technology</t>
  </si>
  <si>
    <t>% of Times Over Estimate</t>
  </si>
  <si>
    <t>Total
(I+J+K+L)</t>
  </si>
  <si>
    <t>Total
(N+O)</t>
  </si>
  <si>
    <t>Variance 
(R-S)</t>
  </si>
  <si>
    <t>See note 6</t>
  </si>
  <si>
    <r>
      <t>Step 3
Start of Final FS to</t>
    </r>
    <r>
      <rPr>
        <b/>
        <sz val="10"/>
        <color rgb="FFFF0000"/>
        <rFont val="Arial"/>
        <family val="2"/>
      </rPr>
      <t xml:space="preserve"> </t>
    </r>
    <r>
      <rPr>
        <b/>
        <sz val="10"/>
        <rFont val="Arial"/>
        <family val="2"/>
      </rPr>
      <t xml:space="preserve">Acceptance of Final FS  </t>
    </r>
    <r>
      <rPr>
        <b/>
        <sz val="10"/>
        <color indexed="8"/>
        <rFont val="Arial"/>
        <family val="2"/>
      </rPr>
      <t xml:space="preserve">
(Months)</t>
    </r>
  </si>
  <si>
    <t>12 kV</t>
  </si>
  <si>
    <r>
      <rPr>
        <vertAlign val="superscript"/>
        <sz val="10"/>
        <rFont val="Arial"/>
        <family val="2"/>
      </rPr>
      <t>6</t>
    </r>
    <r>
      <rPr>
        <sz val="10"/>
        <rFont val="Arial"/>
        <family val="2"/>
      </rPr>
      <t>Prior to consolidating the administration and negotiation of IPP projects on all islands to one division, Maui Electric did not separate the cost of the Facility Study from the System Impact Study.  Starting with the Stage 1 RFP projects all IPP projects follow the same process reporting the System Impact Study and Facility Study separately.</t>
    </r>
  </si>
  <si>
    <t>System Impact Study  
(SIS) Deposit</t>
  </si>
  <si>
    <t>Step 2
Start of SIS to SIS Results
(Months)</t>
  </si>
  <si>
    <t>Company/Developer/CA/PUC</t>
  </si>
  <si>
    <r>
      <t xml:space="preserve">Step 1a
</t>
    </r>
    <r>
      <rPr>
        <b/>
        <sz val="10"/>
        <rFont val="Arial"/>
        <family val="2"/>
      </rPr>
      <t>From Company Request of Developer Drawings to Completion of Company SLD's/Receipt of Developer Drawings</t>
    </r>
    <r>
      <rPr>
        <b/>
        <sz val="10"/>
        <color indexed="8"/>
        <rFont val="Arial"/>
        <family val="2"/>
      </rPr>
      <t xml:space="preserve"> 
(Months)</t>
    </r>
  </si>
  <si>
    <t>Step 2a
Start of Preliminary FS to Preliminary FS Results
(Months)</t>
  </si>
  <si>
    <t>Step 7
Engineering/Design/ Procurement/Construction to Commercial Operations
(Months)</t>
  </si>
  <si>
    <t>IPP Interconnection Reported Metric
Cost to Interconnect</t>
  </si>
  <si>
    <t>IPP Interconnection Reported Metric
Time to Interconnect</t>
  </si>
  <si>
    <t>Interconnection Cost Overrun Reported Metric</t>
  </si>
  <si>
    <r>
      <t>Step 1
From Company Request to Receipt of IRS</t>
    </r>
    <r>
      <rPr>
        <b/>
        <vertAlign val="superscript"/>
        <sz val="11"/>
        <color rgb="FF000000"/>
        <rFont val="Arial"/>
        <family val="2"/>
      </rPr>
      <t>1</t>
    </r>
    <r>
      <rPr>
        <b/>
        <sz val="10"/>
        <color indexed="8"/>
        <rFont val="Arial"/>
        <family val="2"/>
      </rPr>
      <t xml:space="preserve"> Data and Model</t>
    </r>
    <r>
      <rPr>
        <b/>
        <vertAlign val="superscript"/>
        <sz val="10"/>
        <color rgb="FF000000"/>
        <rFont val="Arial"/>
        <family val="2"/>
      </rPr>
      <t>4</t>
    </r>
    <r>
      <rPr>
        <b/>
        <sz val="10"/>
        <color indexed="8"/>
        <rFont val="Arial"/>
        <family val="2"/>
      </rPr>
      <t xml:space="preserve"> Collection to Start System Impact Study (SIS)
(Months)</t>
    </r>
  </si>
  <si>
    <t>Commercial Operations Date</t>
  </si>
  <si>
    <t>27.6 MW</t>
  </si>
  <si>
    <t>5 MW</t>
  </si>
  <si>
    <t>2.87 MW</t>
  </si>
  <si>
    <t>14.7 MW</t>
  </si>
  <si>
    <t>45.9 MW</t>
  </si>
  <si>
    <t>49 MW</t>
  </si>
  <si>
    <t>0.735 MW</t>
  </si>
  <si>
    <t>3.486 MW</t>
  </si>
  <si>
    <t>24 MW</t>
  </si>
  <si>
    <t>1 MW</t>
  </si>
  <si>
    <t>185 MW</t>
  </si>
  <si>
    <t>Size</t>
  </si>
  <si>
    <t>3.5 MW</t>
  </si>
  <si>
    <t>52 MW/208 MWh</t>
  </si>
  <si>
    <t>12.5 MW/50 MWh</t>
  </si>
  <si>
    <t>30 MW/120 MWh</t>
  </si>
  <si>
    <t>30 MW/240 MWh</t>
  </si>
  <si>
    <t>7 MW/35 MWh</t>
  </si>
  <si>
    <t>120 MW/480 MWh</t>
  </si>
  <si>
    <r>
      <rPr>
        <vertAlign val="superscript"/>
        <sz val="8"/>
        <rFont val="Arial"/>
        <family val="2"/>
      </rPr>
      <t xml:space="preserve">2 </t>
    </r>
    <r>
      <rPr>
        <sz val="10"/>
        <rFont val="Arial"/>
        <family val="2"/>
      </rPr>
      <t>The Interconnection Requirements Study (IRS) is comprised of a System Impact Study (SIS) and Facility Study (FS). For the Stage 1 and Stage 2 projects, the IRS payments were bifurcated into SIS and FS deposits.</t>
    </r>
  </si>
  <si>
    <r>
      <rPr>
        <vertAlign val="superscript"/>
        <sz val="10"/>
        <color rgb="FF000000"/>
        <rFont val="Arial"/>
        <family val="2"/>
      </rPr>
      <t>4</t>
    </r>
    <r>
      <rPr>
        <sz val="10"/>
        <color rgb="FF000000"/>
        <rFont val="Arial"/>
        <family val="2"/>
      </rPr>
      <t>Model requirements are provided in the specific RFP.</t>
    </r>
  </si>
  <si>
    <t>“# of PPAs’ 
Company-Owned Interconnection Facilities Actual Costs Over Estimate</t>
  </si>
  <si>
    <t>Hawaii</t>
  </si>
  <si>
    <t>Voltage</t>
  </si>
  <si>
    <t>Lanai</t>
  </si>
  <si>
    <t>Molokai</t>
  </si>
  <si>
    <t># of projects</t>
  </si>
  <si>
    <t>2. Time summaries above reflect only the SIS and FS, rather than the completed IRS, which includes Developer Acceptance (Step 4). The summaries also do not include the time required to obtain working models and model check-out (Steps 1 and 1a).</t>
  </si>
  <si>
    <t>1. Cost summaries above reflect projects completed to date from 2017 through 2020 (pre-Stage 1 and Stage 2). Stage 1 and 2 projects will be added upon completion.</t>
  </si>
  <si>
    <t>Cost to Interconnect Summary</t>
  </si>
  <si>
    <t>Time to Interconnect Summary</t>
  </si>
  <si>
    <r>
      <t xml:space="preserve">3. Projects completed in 2017 through 2020 are not included because they did not utilize the bifurcated IRS </t>
    </r>
    <r>
      <rPr>
        <sz val="10"/>
        <rFont val="Arial"/>
        <family val="2"/>
      </rPr>
      <t>process</t>
    </r>
    <r>
      <rPr>
        <sz val="10"/>
        <color indexed="8"/>
        <rFont val="Arial"/>
        <family val="2"/>
      </rPr>
      <t>.</t>
    </r>
  </si>
  <si>
    <t>3. IRS actual cost includes any additional work required to accommodate Developer equipment or design changes.</t>
  </si>
  <si>
    <t>The summary tables below are categorized by island and interconnection voltage level. Interconnection requirements generally increase in complexity as voltage increases. The tables provide summary information for the Interconnection Requirements Studies (IRS) and interconnection work that have been completed to date; the "# of projects" column illustrates the number of projects included in each Summary. Many projects are still going through the development process, so these summary tables will be further populated and updated as project work is completed. For more detailed information on each project, please see the spreadsheet file provided in the Download Historical Data button below.</t>
  </si>
  <si>
    <t>1. Together, the System Impact Study (SIS) and the Facility Study (FS) comprise the IRS. The SIS assesses the performance and impact that the operation of the proposed project(s) have on the system. The FS takes into account the SIS findings and requirements and determines the estimated cost, scope, and schedule of the Company-Owned Interconnection Facilities that must be designed, procured and installed to interconnect the proposed Project and bring the proposed Project into Commercial Operations.</t>
  </si>
  <si>
    <t>Average System Impact Study Duration per project (months), Actual
Step 2</t>
  </si>
  <si>
    <t>Average IRS Cost per project, Actual</t>
  </si>
  <si>
    <t>Average Interconnection (Company-Owned Facilities) Cost per project, Actual</t>
  </si>
  <si>
    <t>2. Costs reflect only the Company's portion of the Company-Owned Interconnection Facilities (COIF). Company's scope and cost will vary by project, depending on whether the COIF is Company- or Developer-built. Projects done in the past often included the Company building a larger portion of the COIF and therefore they likely have had higher costs, whereas for projects currently under construction, the COIF is primarily being designed, procured and constructed by the developers and once completed, this chart will likely reflect much smaller numbers for the Company-built portion.  The Company is not provided information from the developers on the final cost of the COIF for the portions built by the developer.</t>
  </si>
  <si>
    <t>Average Facility Study Duration per project (months), Actual  
Step 2a + Step 3</t>
  </si>
  <si>
    <t>Kamaole Solar</t>
  </si>
  <si>
    <t>Kahana Solar</t>
  </si>
  <si>
    <t>20MW/80MWh</t>
  </si>
  <si>
    <t>PV+BESS</t>
  </si>
  <si>
    <t>TBD</t>
  </si>
  <si>
    <t>See note 7</t>
  </si>
  <si>
    <r>
      <rPr>
        <vertAlign val="superscript"/>
        <sz val="8"/>
        <rFont val="Arial"/>
        <family val="2"/>
      </rPr>
      <t xml:space="preserve">7 </t>
    </r>
    <r>
      <rPr>
        <sz val="10"/>
        <rFont val="Arial"/>
        <family val="2"/>
      </rPr>
      <t>Null and void as of Dec 6, 2021.</t>
    </r>
  </si>
  <si>
    <r>
      <rPr>
        <vertAlign val="superscript"/>
        <sz val="11"/>
        <color rgb="FF000000"/>
        <rFont val="Arial"/>
        <family val="2"/>
      </rPr>
      <t>5</t>
    </r>
    <r>
      <rPr>
        <sz val="10"/>
        <color rgb="FF000000"/>
        <rFont val="Arial"/>
        <family val="2"/>
      </rPr>
      <t xml:space="preserve"> Null and void as of Dec 6, 2021.</t>
    </r>
  </si>
  <si>
    <t>See note 5</t>
  </si>
  <si>
    <t>NOTE: For projects prior to the time of Stage 2 RFPs, the Company did not track duration of intermediate steps.</t>
  </si>
  <si>
    <t>Developer/Company</t>
  </si>
  <si>
    <r>
      <rPr>
        <vertAlign val="superscript"/>
        <sz val="11"/>
        <color rgb="FF000000"/>
        <rFont val="Arial"/>
        <family val="2"/>
      </rPr>
      <t>6</t>
    </r>
    <r>
      <rPr>
        <sz val="10"/>
        <color rgb="FF000000"/>
        <rFont val="Arial"/>
        <family val="2"/>
      </rPr>
      <t xml:space="preserve"> Null and void as of May 4, 2022.</t>
    </r>
  </si>
  <si>
    <r>
      <rPr>
        <vertAlign val="superscript"/>
        <sz val="11"/>
        <color rgb="FF000000"/>
        <rFont val="Arial"/>
        <family val="2"/>
      </rPr>
      <t>7</t>
    </r>
    <r>
      <rPr>
        <sz val="10"/>
        <color rgb="FF000000"/>
        <rFont val="Arial"/>
        <family val="2"/>
      </rPr>
      <t xml:space="preserve"> Null and void as of May 4, 2022.</t>
    </r>
  </si>
  <si>
    <r>
      <rPr>
        <vertAlign val="superscript"/>
        <sz val="11"/>
        <color rgb="FF000000"/>
        <rFont val="Arial"/>
        <family val="2"/>
      </rPr>
      <t>8</t>
    </r>
    <r>
      <rPr>
        <sz val="10"/>
        <color rgb="FF000000"/>
        <rFont val="Arial"/>
        <family val="2"/>
      </rPr>
      <t xml:space="preserve"> Null and void as of Dec 23, 2022.</t>
    </r>
  </si>
  <si>
    <t>See note 8</t>
  </si>
  <si>
    <t>See note 9</t>
  </si>
  <si>
    <t>See note 10</t>
  </si>
  <si>
    <r>
      <rPr>
        <vertAlign val="superscript"/>
        <sz val="11"/>
        <color rgb="FF000000"/>
        <rFont val="Arial"/>
        <family val="2"/>
      </rPr>
      <t>8</t>
    </r>
    <r>
      <rPr>
        <sz val="10"/>
        <color rgb="FF000000"/>
        <rFont val="Arial"/>
        <family val="2"/>
      </rPr>
      <t xml:space="preserve"> Null and void as of May 4, 2022. Costs are current until Null and Void declaration.</t>
    </r>
  </si>
  <si>
    <r>
      <rPr>
        <vertAlign val="superscript"/>
        <sz val="11"/>
        <color rgb="FF000000"/>
        <rFont val="Arial"/>
        <family val="2"/>
      </rPr>
      <t>10</t>
    </r>
    <r>
      <rPr>
        <sz val="10"/>
        <color rgb="FF000000"/>
        <rFont val="Arial"/>
        <family val="2"/>
      </rPr>
      <t xml:space="preserve"> Null and void as of Dec 23, 2022. Costs are current until Null and Void declaration.</t>
    </r>
  </si>
  <si>
    <r>
      <rPr>
        <vertAlign val="superscript"/>
        <sz val="11"/>
        <color rgb="FF000000"/>
        <rFont val="Arial"/>
        <family val="2"/>
      </rPr>
      <t>9</t>
    </r>
    <r>
      <rPr>
        <sz val="10"/>
        <color rgb="FF000000"/>
        <rFont val="Arial"/>
        <family val="2"/>
      </rPr>
      <t xml:space="preserve"> Null and void as of May 4, 2022. Costs are current until Null and Void declaration.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</si>
</sst>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44" formatCode="_(&quot;$&quot;* #,##0.00_);_(&quot;$&quot;* \(#,##0.00\);_(&quot;$&quot;* &quot;-&quot;??_);_(@_)"/>
    <numFmt numFmtId="43" formatCode="_(* #,##0.00_);_(* \(#,##0.00\);_(* &quot;-&quot;??_);_(@_)"/>
    <numFmt numFmtId="164" formatCode="mm\/dd\/yyyy"/>
    <numFmt numFmtId="165" formatCode="&quot;$&quot;#,##0.00"/>
    <numFmt numFmtId="166" formatCode="_(&quot;$&quot;* #,##0_);_(&quot;$&quot;* \(#,##0\);_(&quot;$&quot;* &quot;-&quot;??_);_(@_)"/>
    <numFmt numFmtId="167" formatCode="0.0"/>
  </numFmts>
  <fonts count="26">
    <font>
      <sz val="10"/>
      <color indexed="8"/>
      <name val="ARIAL"/>
      <charset val="1"/>
    </font>
    <font>
      <sz val="11"/>
      <color theme="1"/>
      <name val="Calibri"/>
      <family val="2"/>
      <scheme val="minor"/>
    </font>
    <font>
      <sz val="11"/>
      <color theme="1"/>
      <name val="Calibri"/>
      <family val="2"/>
      <scheme val="minor"/>
    </font>
    <font>
      <sz val="10"/>
      <color indexed="8"/>
      <name val="Arial"/>
      <family val="2"/>
    </font>
    <font>
      <b/>
      <sz val="14"/>
      <color indexed="8"/>
      <name val="Arial"/>
      <family val="2"/>
    </font>
    <font>
      <b/>
      <sz val="12"/>
      <color indexed="8"/>
      <name val="Arial"/>
      <family val="2"/>
    </font>
    <font>
      <b/>
      <sz val="10"/>
      <color indexed="8"/>
      <name val="Arial"/>
      <family val="2"/>
    </font>
    <font>
      <sz val="10"/>
      <name val="Arial"/>
      <family val="2"/>
    </font>
    <font>
      <b/>
      <sz val="10"/>
      <color rgb="FFFF0000"/>
      <name val="Arial"/>
      <family val="2"/>
    </font>
    <font>
      <sz val="10"/>
      <color indexed="8"/>
      <name val="Helvetica Neue"/>
    </font>
    <font>
      <sz val="10"/>
      <color indexed="8"/>
      <name val="Arial"/>
      <family val="2"/>
    </font>
    <font>
      <sz val="10"/>
      <color theme="0" tint="-4.9989318521683403E-2"/>
      <name val="Arial"/>
      <family val="2"/>
    </font>
    <font>
      <vertAlign val="superscript"/>
      <sz val="8"/>
      <color rgb="FF000000"/>
      <name val="Arial"/>
      <family val="2"/>
    </font>
    <font>
      <vertAlign val="superscript"/>
      <sz val="8"/>
      <name val="Arial"/>
      <family val="2"/>
    </font>
    <font>
      <b/>
      <vertAlign val="superscript"/>
      <sz val="8"/>
      <color rgb="FF000000"/>
      <name val="Arial"/>
      <family val="2"/>
    </font>
    <font>
      <b/>
      <vertAlign val="superscript"/>
      <sz val="11"/>
      <color rgb="FF000000"/>
      <name val="Arial"/>
      <family val="2"/>
    </font>
    <font>
      <vertAlign val="superscript"/>
      <sz val="10"/>
      <color rgb="FF000000"/>
      <name val="Arial"/>
      <family val="2"/>
    </font>
    <font>
      <b/>
      <vertAlign val="superscript"/>
      <sz val="10"/>
      <color rgb="FF000000"/>
      <name val="Arial"/>
      <family val="2"/>
    </font>
    <font>
      <b/>
      <sz val="10"/>
      <name val="Arial"/>
      <family val="2"/>
    </font>
    <font>
      <vertAlign val="superscript"/>
      <sz val="10"/>
      <name val="Arial"/>
      <family val="2"/>
    </font>
    <font>
      <b/>
      <sz val="9"/>
      <color rgb="FF000000"/>
      <name val="Arial"/>
      <family val="2"/>
    </font>
    <font>
      <sz val="10"/>
      <color rgb="FF000000"/>
      <name val="Arial"/>
      <family val="2"/>
    </font>
    <font>
      <sz val="11"/>
      <color indexed="8"/>
      <name val="Calibri"/>
      <family val="2"/>
    </font>
    <font>
      <vertAlign val="superscript"/>
      <sz val="11"/>
      <color rgb="FF000000"/>
      <name val="Arial"/>
      <family val="2"/>
    </font>
    <font>
      <sz val="11"/>
      <name val="Arial"/>
      <family val="2"/>
    </font>
    <font>
      <b/>
      <sz val="10"/>
      <color theme="1"/>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style="thin">
        <color indexed="64"/>
      </left>
      <right/>
      <top style="thin">
        <color indexed="64"/>
      </top>
      <bottom/>
      <diagonal/>
    </border>
    <border>
      <left style="thin">
        <color indexed="64"/>
      </left>
      <right style="thick">
        <color indexed="64"/>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right/>
      <top style="thin">
        <color indexed="64"/>
      </top>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ck">
        <color indexed="64"/>
      </right>
      <top/>
      <bottom/>
      <diagonal/>
    </border>
    <border>
      <left style="thin">
        <color indexed="64"/>
      </left>
      <right/>
      <top style="medium">
        <color indexed="64"/>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ck">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ck">
        <color indexed="64"/>
      </left>
      <right style="thick">
        <color indexed="64"/>
      </right>
      <top/>
      <bottom style="thin">
        <color indexed="64"/>
      </bottom>
      <diagonal/>
    </border>
    <border>
      <left/>
      <right style="thin">
        <color indexed="64"/>
      </right>
      <top style="thick">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ck">
        <color indexed="64"/>
      </top>
      <bottom style="thin">
        <color indexed="64"/>
      </bottom>
      <diagonal/>
    </border>
  </borders>
  <cellStyleXfs count="11">
    <xf numFmtId="0" fontId="0" fillId="0" borderId="0">
      <alignment vertical="top"/>
    </xf>
    <xf numFmtId="44" fontId="3" fillId="0" borderId="0" applyFont="0" applyFill="0" applyBorder="0" applyAlignment="0" applyProtection="0">
      <alignment vertical="top"/>
    </xf>
    <xf numFmtId="9" fontId="3" fillId="0" borderId="0" applyFont="0" applyFill="0" applyBorder="0" applyAlignment="0" applyProtection="0">
      <alignment vertical="top"/>
    </xf>
    <xf numFmtId="0" fontId="9" fillId="0" borderId="0" applyNumberFormat="0" applyFill="0" applyBorder="0" applyProtection="0">
      <alignment vertical="top" wrapText="1"/>
    </xf>
    <xf numFmtId="44" fontId="9" fillId="0" borderId="0" applyFont="0" applyFill="0" applyBorder="0" applyAlignment="0" applyProtection="0"/>
    <xf numFmtId="0" fontId="10" fillId="0" borderId="0">
      <alignment vertical="top"/>
    </xf>
    <xf numFmtId="43" fontId="10" fillId="0" borderId="0" applyFont="0" applyFill="0" applyBorder="0" applyAlignment="0" applyProtection="0"/>
    <xf numFmtId="0" fontId="2" fillId="0" borderId="0"/>
    <xf numFmtId="0" fontId="3" fillId="0" borderId="0">
      <alignment vertical="top"/>
    </xf>
    <xf numFmtId="43" fontId="3" fillId="0" borderId="0" applyFont="0" applyFill="0" applyBorder="0" applyAlignment="0" applyProtection="0"/>
    <xf numFmtId="0" fontId="1" fillId="0" borderId="0"/>
  </cellStyleXfs>
  <cellXfs count="420">
    <xf numFmtId="0" fontId="0" fillId="0" borderId="0" xfId="0">
      <alignment vertical="top"/>
    </xf>
    <xf numFmtId="0" fontId="5" fillId="0" borderId="0" xfId="0" applyFont="1" applyAlignment="1">
      <alignment horizontal="left" vertical="top" wrapText="1" readingOrder="1"/>
    </xf>
    <xf numFmtId="0" fontId="7" fillId="0" borderId="0" xfId="0" applyFont="1">
      <alignment vertical="top"/>
    </xf>
    <xf numFmtId="0" fontId="0" fillId="0" borderId="0" xfId="0" applyAlignment="1">
      <alignment horizontal="center" vertical="top"/>
    </xf>
    <xf numFmtId="0" fontId="7" fillId="0" borderId="1" xfId="0" applyFont="1" applyBorder="1" applyAlignment="1">
      <alignment horizontal="center" vertical="top" wrapText="1"/>
    </xf>
    <xf numFmtId="0" fontId="0" fillId="0" borderId="9" xfId="0" applyBorder="1">
      <alignment vertical="top"/>
    </xf>
    <xf numFmtId="0" fontId="7" fillId="0" borderId="5" xfId="0" applyFont="1" applyBorder="1" applyAlignment="1">
      <alignment horizontal="left" vertical="top" wrapText="1"/>
    </xf>
    <xf numFmtId="0" fontId="0" fillId="0" borderId="11" xfId="0" applyBorder="1">
      <alignment vertical="top"/>
    </xf>
    <xf numFmtId="0" fontId="0" fillId="0" borderId="9" xfId="0" applyBorder="1" applyAlignment="1">
      <alignment horizontal="center" vertical="top"/>
    </xf>
    <xf numFmtId="0" fontId="8" fillId="0" borderId="0" xfId="0" applyFont="1">
      <alignment vertical="top"/>
    </xf>
    <xf numFmtId="0" fontId="6" fillId="2" borderId="13" xfId="0" applyFont="1" applyFill="1" applyBorder="1" applyAlignment="1">
      <alignment horizontal="center" vertical="center" wrapText="1" readingOrder="1"/>
    </xf>
    <xf numFmtId="7" fontId="0" fillId="0" borderId="0" xfId="0" applyNumberFormat="1">
      <alignment vertical="top"/>
    </xf>
    <xf numFmtId="7" fontId="0" fillId="0" borderId="0" xfId="0" applyNumberFormat="1" applyAlignment="1">
      <alignment vertical="top"/>
    </xf>
    <xf numFmtId="165" fontId="0" fillId="0" borderId="0" xfId="0" applyNumberFormat="1">
      <alignment vertical="top"/>
    </xf>
    <xf numFmtId="165" fontId="0" fillId="0" borderId="9" xfId="0" applyNumberFormat="1" applyBorder="1">
      <alignment vertical="top"/>
    </xf>
    <xf numFmtId="165" fontId="0" fillId="0" borderId="0" xfId="0" applyNumberFormat="1" applyAlignment="1">
      <alignment vertical="top"/>
    </xf>
    <xf numFmtId="165" fontId="0" fillId="0" borderId="0" xfId="0" applyNumberFormat="1" applyAlignment="1">
      <alignment horizontal="right" vertical="top"/>
    </xf>
    <xf numFmtId="1" fontId="0" fillId="0" borderId="0" xfId="0" applyNumberFormat="1" applyAlignment="1">
      <alignment horizontal="right" vertical="top"/>
    </xf>
    <xf numFmtId="0" fontId="0" fillId="0" borderId="0" xfId="0" applyBorder="1">
      <alignment vertical="top"/>
    </xf>
    <xf numFmtId="0" fontId="7" fillId="0" borderId="0" xfId="0" applyFont="1" applyFill="1">
      <alignment vertical="top"/>
    </xf>
    <xf numFmtId="0" fontId="7" fillId="0" borderId="5" xfId="0" applyFont="1" applyFill="1" applyBorder="1" applyAlignment="1">
      <alignment horizontal="lef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44" fontId="7" fillId="0" borderId="0" xfId="0" applyNumberFormat="1" applyFont="1" applyFill="1">
      <alignment vertical="top"/>
    </xf>
    <xf numFmtId="165" fontId="7" fillId="0" borderId="1" xfId="0" applyNumberFormat="1" applyFont="1" applyFill="1" applyBorder="1" applyAlignment="1">
      <alignment horizontal="left" vertical="top" wrapText="1"/>
    </xf>
    <xf numFmtId="165" fontId="7" fillId="0" borderId="1" xfId="1" applyNumberFormat="1" applyFont="1" applyFill="1" applyBorder="1" applyAlignment="1">
      <alignment horizontal="right" vertical="top"/>
    </xf>
    <xf numFmtId="7" fontId="7" fillId="0" borderId="7" xfId="0" applyNumberFormat="1" applyFont="1" applyFill="1" applyBorder="1" applyAlignment="1">
      <alignment horizontal="left" vertical="top" wrapText="1"/>
    </xf>
    <xf numFmtId="44" fontId="0" fillId="0" borderId="1" xfId="4" applyFont="1" applyFill="1" applyBorder="1" applyAlignment="1">
      <alignment horizontal="center" vertical="top" wrapText="1"/>
    </xf>
    <xf numFmtId="44" fontId="0" fillId="0" borderId="7" xfId="4" applyFont="1" applyFill="1" applyBorder="1" applyAlignment="1">
      <alignment horizontal="center" vertical="top" wrapText="1"/>
    </xf>
    <xf numFmtId="165" fontId="7" fillId="0" borderId="1" xfId="0" applyNumberFormat="1" applyFont="1" applyFill="1" applyBorder="1" applyAlignment="1">
      <alignment horizontal="right" vertical="top" wrapText="1"/>
    </xf>
    <xf numFmtId="165" fontId="6" fillId="2" borderId="16" xfId="0" applyNumberFormat="1" applyFont="1" applyFill="1" applyBorder="1" applyAlignment="1">
      <alignment horizontal="center" vertical="center" wrapText="1" readingOrder="1"/>
    </xf>
    <xf numFmtId="0" fontId="6" fillId="2" borderId="17" xfId="0" applyFont="1" applyFill="1" applyBorder="1" applyAlignment="1">
      <alignment horizontal="center" vertical="center" wrapText="1" readingOrder="1"/>
    </xf>
    <xf numFmtId="44" fontId="0" fillId="0" borderId="19" xfId="4" applyFont="1" applyBorder="1" applyAlignment="1">
      <alignment horizontal="center" vertical="top" wrapText="1"/>
    </xf>
    <xf numFmtId="0" fontId="3" fillId="0" borderId="0" xfId="0" applyFont="1">
      <alignment vertical="top"/>
    </xf>
    <xf numFmtId="0" fontId="0" fillId="0" borderId="0" xfId="0" applyAlignment="1">
      <alignment vertical="center"/>
    </xf>
    <xf numFmtId="0" fontId="0" fillId="0" borderId="0" xfId="0" applyAlignment="1">
      <alignment vertical="top"/>
    </xf>
    <xf numFmtId="0" fontId="3" fillId="0" borderId="0" xfId="0" applyFont="1" applyAlignment="1">
      <alignment vertical="top" wrapText="1"/>
    </xf>
    <xf numFmtId="0" fontId="4" fillId="0" borderId="0" xfId="0" applyFont="1">
      <alignment vertical="top"/>
    </xf>
    <xf numFmtId="44" fontId="7" fillId="0" borderId="1" xfId="1" applyFont="1" applyFill="1" applyBorder="1" applyAlignment="1">
      <alignment horizontal="right" vertical="top"/>
    </xf>
    <xf numFmtId="164" fontId="7" fillId="0" borderId="1" xfId="0" applyNumberFormat="1" applyFont="1" applyBorder="1" applyAlignment="1">
      <alignment horizontal="center" vertical="top" wrapText="1"/>
    </xf>
    <xf numFmtId="1" fontId="7" fillId="5" borderId="1" xfId="0" applyNumberFormat="1" applyFont="1" applyFill="1" applyBorder="1" applyAlignment="1">
      <alignment horizontal="center" vertical="top" wrapText="1"/>
    </xf>
    <xf numFmtId="44" fontId="7" fillId="0" borderId="6" xfId="1" applyFont="1" applyFill="1" applyBorder="1">
      <alignment vertical="top"/>
    </xf>
    <xf numFmtId="44" fontId="7" fillId="0" borderId="7" xfId="1" applyFont="1" applyFill="1" applyBorder="1">
      <alignment vertical="top"/>
    </xf>
    <xf numFmtId="44" fontId="0" fillId="0" borderId="10" xfId="1" applyFont="1" applyBorder="1">
      <alignment vertical="top"/>
    </xf>
    <xf numFmtId="44" fontId="0" fillId="0" borderId="23" xfId="4" applyFont="1" applyBorder="1" applyAlignment="1">
      <alignment horizontal="center" vertical="top" wrapText="1"/>
    </xf>
    <xf numFmtId="0" fontId="0" fillId="0" borderId="12" xfId="0" applyBorder="1">
      <alignment vertical="top"/>
    </xf>
    <xf numFmtId="0" fontId="7" fillId="0" borderId="14" xfId="0" applyFont="1" applyBorder="1" applyAlignment="1">
      <alignment horizontal="center" vertical="top" wrapText="1"/>
    </xf>
    <xf numFmtId="0" fontId="7" fillId="0" borderId="7" xfId="0" applyFont="1" applyBorder="1" applyAlignment="1">
      <alignment horizontal="center" vertical="top" wrapText="1"/>
    </xf>
    <xf numFmtId="164" fontId="7" fillId="3" borderId="7" xfId="0" applyNumberFormat="1" applyFont="1" applyFill="1" applyBorder="1" applyAlignment="1">
      <alignment horizontal="left" vertical="top" wrapText="1"/>
    </xf>
    <xf numFmtId="0" fontId="0" fillId="0" borderId="10" xfId="0" applyBorder="1" applyAlignment="1">
      <alignment horizontal="center" vertical="top"/>
    </xf>
    <xf numFmtId="44" fontId="0" fillId="0" borderId="11" xfId="1" applyFont="1" applyBorder="1">
      <alignment vertical="top"/>
    </xf>
    <xf numFmtId="0" fontId="0" fillId="0" borderId="10" xfId="0" applyBorder="1">
      <alignment vertical="top"/>
    </xf>
    <xf numFmtId="164" fontId="7" fillId="3" borderId="14" xfId="0" applyNumberFormat="1" applyFont="1" applyFill="1" applyBorder="1" applyAlignment="1">
      <alignment horizontal="left" vertical="top" wrapText="1"/>
    </xf>
    <xf numFmtId="0" fontId="0" fillId="0" borderId="15" xfId="0" applyBorder="1">
      <alignment vertical="top"/>
    </xf>
    <xf numFmtId="164" fontId="7" fillId="3" borderId="24" xfId="0" applyNumberFormat="1" applyFont="1" applyFill="1" applyBorder="1" applyAlignment="1">
      <alignment horizontal="left" vertical="top" wrapText="1"/>
    </xf>
    <xf numFmtId="1" fontId="0" fillId="0" borderId="15" xfId="0" applyNumberFormat="1" applyBorder="1" applyAlignment="1">
      <alignment horizontal="right" vertical="top"/>
    </xf>
    <xf numFmtId="0" fontId="3" fillId="5" borderId="1" xfId="4" applyNumberFormat="1" applyFont="1" applyFill="1" applyBorder="1" applyAlignment="1">
      <alignment horizontal="center" vertical="top" wrapText="1"/>
    </xf>
    <xf numFmtId="0" fontId="5" fillId="0" borderId="0" xfId="0" applyFont="1" applyAlignment="1">
      <alignment vertical="top" wrapText="1" readingOrder="1"/>
    </xf>
    <xf numFmtId="0" fontId="4" fillId="0" borderId="0" xfId="0" applyFont="1" applyAlignment="1">
      <alignment horizontal="center" vertical="top" wrapText="1" readingOrder="1"/>
    </xf>
    <xf numFmtId="0" fontId="21" fillId="0" borderId="0" xfId="0" applyFont="1">
      <alignment vertical="top"/>
    </xf>
    <xf numFmtId="0" fontId="6" fillId="2" borderId="28" xfId="0" applyFont="1" applyFill="1" applyBorder="1" applyAlignment="1">
      <alignment horizontal="center" vertical="center" wrapText="1" readingOrder="1"/>
    </xf>
    <xf numFmtId="0" fontId="6" fillId="4" borderId="29" xfId="0" applyFont="1" applyFill="1" applyBorder="1" applyAlignment="1">
      <alignment horizontal="center" vertical="top" wrapText="1" readingOrder="1"/>
    </xf>
    <xf numFmtId="0" fontId="6" fillId="2" borderId="30" xfId="0" applyFont="1" applyFill="1" applyBorder="1" applyAlignment="1">
      <alignment horizontal="center" vertical="center" wrapText="1" readingOrder="1"/>
    </xf>
    <xf numFmtId="0" fontId="7" fillId="0" borderId="19" xfId="0" applyFont="1" applyBorder="1" applyAlignment="1">
      <alignment horizontal="center" vertical="top" wrapText="1"/>
    </xf>
    <xf numFmtId="0" fontId="6" fillId="2" borderId="27" xfId="0" applyFont="1" applyFill="1" applyBorder="1" applyAlignment="1">
      <alignment horizontal="center" vertical="center" wrapText="1" readingOrder="1"/>
    </xf>
    <xf numFmtId="0" fontId="6" fillId="4" borderId="25" xfId="0" applyFont="1" applyFill="1" applyBorder="1" applyAlignment="1">
      <alignment horizontal="center" vertical="top" wrapText="1" readingOrder="1"/>
    </xf>
    <xf numFmtId="0" fontId="6" fillId="2" borderId="28" xfId="0" applyFont="1" applyFill="1" applyBorder="1" applyAlignment="1">
      <alignment horizontal="center" vertical="top" wrapText="1" readingOrder="1"/>
    </xf>
    <xf numFmtId="0" fontId="6" fillId="4" borderId="27" xfId="0" applyFont="1" applyFill="1" applyBorder="1" applyAlignment="1">
      <alignment horizontal="center" vertical="top" wrapText="1" readingOrder="1"/>
    </xf>
    <xf numFmtId="0" fontId="6" fillId="2" borderId="27" xfId="0" applyFont="1" applyFill="1" applyBorder="1" applyAlignment="1">
      <alignment horizontal="center" vertical="top" wrapText="1" readingOrder="1"/>
    </xf>
    <xf numFmtId="0" fontId="6" fillId="2" borderId="32" xfId="0" applyFont="1" applyFill="1" applyBorder="1" applyAlignment="1">
      <alignment horizontal="center" vertical="top" wrapText="1" readingOrder="1"/>
    </xf>
    <xf numFmtId="0" fontId="20" fillId="2" borderId="29" xfId="0" applyFont="1" applyFill="1" applyBorder="1" applyAlignment="1">
      <alignment horizontal="center" vertical="center" wrapText="1" readingOrder="1"/>
    </xf>
    <xf numFmtId="1" fontId="6" fillId="2" borderId="32" xfId="0" applyNumberFormat="1" applyFont="1" applyFill="1" applyBorder="1" applyAlignment="1">
      <alignment horizontal="center" vertical="top" wrapText="1" readingOrder="1"/>
    </xf>
    <xf numFmtId="1" fontId="0" fillId="0" borderId="0" xfId="0" applyNumberFormat="1" applyBorder="1" applyAlignment="1">
      <alignment horizontal="right" vertical="top"/>
    </xf>
    <xf numFmtId="0" fontId="4" fillId="0" borderId="0" xfId="0" applyFont="1" applyAlignment="1">
      <alignment horizontal="center" vertical="top" wrapText="1" readingOrder="1"/>
    </xf>
    <xf numFmtId="0" fontId="0" fillId="0" borderId="0" xfId="0" applyAlignment="1">
      <alignment vertical="top" wrapText="1"/>
    </xf>
    <xf numFmtId="0" fontId="7" fillId="0" borderId="33" xfId="0" applyFont="1" applyBorder="1" applyAlignment="1">
      <alignment horizontal="left" vertical="top" wrapText="1"/>
    </xf>
    <xf numFmtId="0" fontId="7" fillId="0" borderId="20" xfId="0" applyFont="1" applyBorder="1" applyAlignment="1">
      <alignment horizontal="center" vertical="top" wrapText="1"/>
    </xf>
    <xf numFmtId="164" fontId="7" fillId="0" borderId="20" xfId="0" applyNumberFormat="1" applyFont="1" applyBorder="1" applyAlignment="1">
      <alignment horizontal="center" vertical="top" wrapText="1"/>
    </xf>
    <xf numFmtId="0" fontId="7" fillId="0" borderId="34" xfId="0" applyFont="1" applyFill="1" applyBorder="1" applyAlignment="1">
      <alignment horizontal="left" vertical="top" wrapText="1"/>
    </xf>
    <xf numFmtId="0" fontId="7" fillId="0" borderId="19" xfId="0" applyFont="1" applyFill="1" applyBorder="1" applyAlignment="1">
      <alignment horizontal="center" vertical="top" wrapText="1"/>
    </xf>
    <xf numFmtId="164" fontId="7" fillId="0" borderId="19" xfId="0" applyNumberFormat="1" applyFont="1" applyBorder="1" applyAlignment="1">
      <alignment horizontal="center" vertical="top" wrapText="1"/>
    </xf>
    <xf numFmtId="0" fontId="7" fillId="0" borderId="19" xfId="0" applyFont="1" applyFill="1" applyBorder="1" applyAlignment="1">
      <alignment horizontal="left" vertical="top" wrapText="1"/>
    </xf>
    <xf numFmtId="44" fontId="7" fillId="0" borderId="23" xfId="1" applyFont="1" applyFill="1" applyBorder="1">
      <alignment vertical="top"/>
    </xf>
    <xf numFmtId="0" fontId="3" fillId="5" borderId="19" xfId="4" applyNumberFormat="1" applyFont="1" applyFill="1" applyBorder="1" applyAlignment="1">
      <alignment horizontal="center" vertical="top" wrapText="1"/>
    </xf>
    <xf numFmtId="44" fontId="0" fillId="0" borderId="19" xfId="4" applyFont="1" applyFill="1" applyBorder="1" applyAlignment="1">
      <alignment horizontal="center" vertical="top" wrapText="1"/>
    </xf>
    <xf numFmtId="44" fontId="0" fillId="0" borderId="5" xfId="4" applyFont="1" applyFill="1" applyBorder="1" applyAlignment="1">
      <alignment horizontal="center" vertical="top" wrapText="1"/>
    </xf>
    <xf numFmtId="44" fontId="7" fillId="0" borderId="1" xfId="1" applyFont="1" applyFill="1" applyBorder="1">
      <alignment vertical="top"/>
    </xf>
    <xf numFmtId="44" fontId="7" fillId="0" borderId="1" xfId="1" applyFont="1" applyFill="1" applyBorder="1" applyAlignment="1">
      <alignment horizontal="right" vertical="top" wrapText="1"/>
    </xf>
    <xf numFmtId="165" fontId="6" fillId="2" borderId="21" xfId="0" applyNumberFormat="1" applyFont="1" applyFill="1" applyBorder="1" applyAlignment="1">
      <alignment horizontal="center" vertical="center" wrapText="1" readingOrder="1"/>
    </xf>
    <xf numFmtId="165" fontId="6" fillId="2" borderId="17" xfId="0" applyNumberFormat="1" applyFont="1" applyFill="1" applyBorder="1" applyAlignment="1">
      <alignment horizontal="center" vertical="center" wrapText="1" readingOrder="1"/>
    </xf>
    <xf numFmtId="7" fontId="6" fillId="2" borderId="18" xfId="0" applyNumberFormat="1" applyFont="1" applyFill="1" applyBorder="1" applyAlignment="1">
      <alignment horizontal="center" vertical="center" wrapText="1" readingOrder="1"/>
    </xf>
    <xf numFmtId="0" fontId="7" fillId="0" borderId="34" xfId="0" applyFont="1" applyBorder="1" applyAlignment="1">
      <alignment horizontal="left" vertical="top" wrapText="1"/>
    </xf>
    <xf numFmtId="0" fontId="7" fillId="0" borderId="19" xfId="0" applyFont="1" applyBorder="1" applyAlignment="1">
      <alignment horizontal="left" vertical="top" wrapText="1"/>
    </xf>
    <xf numFmtId="44" fontId="7" fillId="0" borderId="23" xfId="1" applyFont="1" applyBorder="1">
      <alignment vertical="top"/>
    </xf>
    <xf numFmtId="44" fontId="0" fillId="0" borderId="34" xfId="4" applyFont="1" applyBorder="1" applyAlignment="1">
      <alignment horizontal="center" vertical="top" wrapText="1"/>
    </xf>
    <xf numFmtId="44" fontId="0" fillId="0" borderId="34" xfId="4" applyFont="1" applyFill="1" applyBorder="1" applyAlignment="1">
      <alignment horizontal="center" vertical="top" wrapText="1"/>
    </xf>
    <xf numFmtId="44" fontId="7" fillId="3" borderId="1" xfId="1" applyFont="1" applyFill="1" applyBorder="1" applyAlignment="1">
      <alignment horizontal="left" vertical="top" wrapText="1"/>
    </xf>
    <xf numFmtId="1" fontId="7" fillId="0" borderId="1" xfId="0" applyNumberFormat="1" applyFont="1" applyBorder="1" applyAlignment="1">
      <alignment horizontal="center" vertical="top" wrapText="1"/>
    </xf>
    <xf numFmtId="44" fontId="7" fillId="5" borderId="1" xfId="1" applyFont="1" applyFill="1" applyBorder="1" applyAlignment="1">
      <alignment horizontal="left" vertical="top" wrapText="1"/>
    </xf>
    <xf numFmtId="44" fontId="7" fillId="3" borderId="33" xfId="1" applyFont="1" applyFill="1" applyBorder="1" applyAlignment="1">
      <alignment horizontal="left" vertical="top" wrapText="1"/>
    </xf>
    <xf numFmtId="44" fontId="7" fillId="3" borderId="20" xfId="1" applyFont="1" applyFill="1" applyBorder="1" applyAlignment="1">
      <alignment horizontal="left" vertical="top" wrapText="1"/>
    </xf>
    <xf numFmtId="44" fontId="7" fillId="3" borderId="14" xfId="1" applyFont="1" applyFill="1" applyBorder="1" applyAlignment="1">
      <alignment horizontal="left" vertical="top" wrapText="1"/>
    </xf>
    <xf numFmtId="44" fontId="7" fillId="3" borderId="5" xfId="1" applyFont="1" applyFill="1" applyBorder="1" applyAlignment="1">
      <alignment horizontal="left" vertical="top" wrapText="1"/>
    </xf>
    <xf numFmtId="44" fontId="7" fillId="3" borderId="7" xfId="1" applyFont="1" applyFill="1" applyBorder="1" applyAlignment="1">
      <alignment horizontal="left" vertical="top" wrapText="1"/>
    </xf>
    <xf numFmtId="1" fontId="7" fillId="0" borderId="7" xfId="0" applyNumberFormat="1" applyFont="1" applyBorder="1" applyAlignment="1">
      <alignment horizontal="center" vertical="top" wrapText="1"/>
    </xf>
    <xf numFmtId="1" fontId="7" fillId="0" borderId="5" xfId="0" applyNumberFormat="1" applyFont="1" applyBorder="1" applyAlignment="1">
      <alignment horizontal="center" vertical="top" wrapText="1"/>
    </xf>
    <xf numFmtId="1" fontId="7" fillId="5" borderId="5" xfId="0" applyNumberFormat="1" applyFont="1" applyFill="1" applyBorder="1" applyAlignment="1">
      <alignment horizontal="center" vertical="top" wrapText="1"/>
    </xf>
    <xf numFmtId="1" fontId="7" fillId="5" borderId="7" xfId="0" applyNumberFormat="1" applyFont="1" applyFill="1" applyBorder="1" applyAlignment="1">
      <alignment horizontal="center" vertical="top" wrapText="1"/>
    </xf>
    <xf numFmtId="0" fontId="0" fillId="0" borderId="11" xfId="0" applyBorder="1" applyAlignment="1">
      <alignment horizontal="center" vertical="top"/>
    </xf>
    <xf numFmtId="164" fontId="7" fillId="3" borderId="33" xfId="0" applyNumberFormat="1" applyFont="1" applyFill="1" applyBorder="1" applyAlignment="1">
      <alignment horizontal="left" vertical="top" wrapText="1"/>
    </xf>
    <xf numFmtId="164" fontId="7" fillId="3" borderId="5" xfId="0" applyNumberFormat="1" applyFont="1" applyFill="1" applyBorder="1" applyAlignment="1">
      <alignment horizontal="left" vertical="top" wrapText="1"/>
    </xf>
    <xf numFmtId="164" fontId="7" fillId="3" borderId="35" xfId="0" applyNumberFormat="1" applyFont="1" applyFill="1" applyBorder="1" applyAlignment="1">
      <alignment horizontal="left" vertical="top" wrapText="1"/>
    </xf>
    <xf numFmtId="1" fontId="7" fillId="0" borderId="35" xfId="0" applyNumberFormat="1" applyFont="1" applyBorder="1" applyAlignment="1">
      <alignment horizontal="center" vertical="top" wrapText="1"/>
    </xf>
    <xf numFmtId="1" fontId="7" fillId="0" borderId="24" xfId="0" applyNumberFormat="1" applyFont="1" applyBorder="1" applyAlignment="1">
      <alignment horizontal="center" vertical="top" wrapText="1"/>
    </xf>
    <xf numFmtId="0" fontId="7" fillId="0" borderId="23" xfId="0" applyFont="1" applyBorder="1" applyAlignment="1">
      <alignment horizontal="center" vertical="top" wrapText="1"/>
    </xf>
    <xf numFmtId="44" fontId="7" fillId="3" borderId="34" xfId="1" applyFont="1" applyFill="1" applyBorder="1" applyAlignment="1">
      <alignment horizontal="left" vertical="top" wrapText="1"/>
    </xf>
    <xf numFmtId="44" fontId="7" fillId="3" borderId="19" xfId="1" applyFont="1" applyFill="1" applyBorder="1" applyAlignment="1">
      <alignment horizontal="left" vertical="top" wrapText="1"/>
    </xf>
    <xf numFmtId="44" fontId="7" fillId="3" borderId="23" xfId="1"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36" xfId="0" applyFont="1" applyFill="1" applyBorder="1" applyAlignment="1">
      <alignment horizontal="center" vertical="top" wrapText="1"/>
    </xf>
    <xf numFmtId="0" fontId="7" fillId="0" borderId="36" xfId="0" applyFont="1" applyFill="1" applyBorder="1" applyAlignment="1">
      <alignment horizontal="left" vertical="top" wrapText="1"/>
    </xf>
    <xf numFmtId="44" fontId="0" fillId="0" borderId="28" xfId="4" applyFont="1" applyFill="1" applyBorder="1" applyAlignment="1">
      <alignment horizontal="center" vertical="top" wrapText="1"/>
    </xf>
    <xf numFmtId="44" fontId="0" fillId="0" borderId="36" xfId="4" applyFont="1" applyFill="1" applyBorder="1" applyAlignment="1">
      <alignment horizontal="center" vertical="top" wrapText="1"/>
    </xf>
    <xf numFmtId="165" fontId="7" fillId="0" borderId="36" xfId="0" applyNumberFormat="1" applyFont="1" applyFill="1" applyBorder="1" applyAlignment="1">
      <alignment horizontal="right" vertical="top" wrapText="1"/>
    </xf>
    <xf numFmtId="44" fontId="7" fillId="0" borderId="25" xfId="1" applyFont="1" applyFill="1" applyBorder="1">
      <alignment vertical="top"/>
    </xf>
    <xf numFmtId="7" fontId="7" fillId="0" borderId="25" xfId="0" applyNumberFormat="1" applyFont="1" applyFill="1" applyBorder="1" applyAlignment="1">
      <alignment horizontal="left" vertical="top" wrapText="1"/>
    </xf>
    <xf numFmtId="165" fontId="7" fillId="0" borderId="36" xfId="1" applyNumberFormat="1" applyFont="1" applyFill="1" applyBorder="1" applyAlignment="1">
      <alignment horizontal="right" vertical="top"/>
    </xf>
    <xf numFmtId="165" fontId="7" fillId="0" borderId="19" xfId="0" applyNumberFormat="1" applyFont="1" applyFill="1" applyBorder="1" applyAlignment="1">
      <alignment horizontal="right" vertical="top" wrapText="1"/>
    </xf>
    <xf numFmtId="44" fontId="7" fillId="0" borderId="19" xfId="1" applyFont="1" applyFill="1" applyBorder="1">
      <alignment vertical="top"/>
    </xf>
    <xf numFmtId="0" fontId="6" fillId="2" borderId="37" xfId="0" applyFont="1" applyFill="1" applyBorder="1" applyAlignment="1">
      <alignment horizontal="center" vertical="center" wrapText="1" readingOrder="1"/>
    </xf>
    <xf numFmtId="44" fontId="0" fillId="0" borderId="12" xfId="1" applyFont="1" applyBorder="1">
      <alignment vertical="top"/>
    </xf>
    <xf numFmtId="44" fontId="0" fillId="0" borderId="39" xfId="4" applyFont="1" applyFill="1" applyBorder="1" applyAlignment="1">
      <alignment horizontal="center" vertical="top" wrapText="1"/>
    </xf>
    <xf numFmtId="165" fontId="0" fillId="0" borderId="40" xfId="0" applyNumberFormat="1" applyBorder="1">
      <alignment vertical="top"/>
    </xf>
    <xf numFmtId="44" fontId="7" fillId="0" borderId="31" xfId="1" applyFont="1" applyFill="1" applyBorder="1" applyAlignment="1">
      <alignment horizontal="left" vertical="top" wrapText="1"/>
    </xf>
    <xf numFmtId="44" fontId="7" fillId="0" borderId="2" xfId="1" applyFont="1" applyFill="1" applyBorder="1" applyAlignment="1">
      <alignment horizontal="left" vertical="top" wrapText="1"/>
    </xf>
    <xf numFmtId="0" fontId="6" fillId="2" borderId="41" xfId="0" applyFont="1" applyFill="1" applyBorder="1" applyAlignment="1">
      <alignment horizontal="center" vertical="center" wrapText="1" readingOrder="1"/>
    </xf>
    <xf numFmtId="44" fontId="7" fillId="0" borderId="31" xfId="1" applyFont="1" applyBorder="1" applyAlignment="1">
      <alignment horizontal="left" vertical="top" wrapText="1"/>
    </xf>
    <xf numFmtId="44" fontId="7" fillId="0" borderId="22" xfId="1" applyFont="1" applyFill="1" applyBorder="1" applyAlignment="1">
      <alignment horizontal="left" vertical="top" wrapText="1"/>
    </xf>
    <xf numFmtId="44" fontId="0" fillId="0" borderId="38" xfId="4" applyFont="1" applyBorder="1" applyAlignment="1">
      <alignment horizontal="center" vertical="top" wrapText="1"/>
    </xf>
    <xf numFmtId="0" fontId="6" fillId="2" borderId="42" xfId="0" applyFont="1" applyFill="1" applyBorder="1" applyAlignment="1">
      <alignment horizontal="center" vertical="center" wrapText="1" readingOrder="1"/>
    </xf>
    <xf numFmtId="44" fontId="0" fillId="0" borderId="43" xfId="4" applyFont="1" applyFill="1" applyBorder="1" applyAlignment="1">
      <alignment horizontal="center" vertical="top" wrapText="1"/>
    </xf>
    <xf numFmtId="0" fontId="6" fillId="2" borderId="18" xfId="0" applyFont="1" applyFill="1" applyBorder="1" applyAlignment="1">
      <alignment horizontal="center" vertical="center" wrapText="1" readingOrder="1"/>
    </xf>
    <xf numFmtId="165" fontId="0" fillId="0" borderId="11" xfId="0" applyNumberFormat="1" applyBorder="1" applyAlignment="1">
      <alignment horizontal="center" vertical="top"/>
    </xf>
    <xf numFmtId="165" fontId="0" fillId="0" borderId="9" xfId="0" applyNumberFormat="1" applyBorder="1" applyAlignment="1">
      <alignment horizontal="center" vertical="top"/>
    </xf>
    <xf numFmtId="165" fontId="0" fillId="0" borderId="11" xfId="1" applyNumberFormat="1" applyFont="1" applyBorder="1" applyAlignment="1">
      <alignment horizontal="right" vertical="top"/>
    </xf>
    <xf numFmtId="44" fontId="0" fillId="0" borderId="9" xfId="1" applyFont="1" applyBorder="1">
      <alignment vertical="top"/>
    </xf>
    <xf numFmtId="44" fontId="7" fillId="0" borderId="10" xfId="1" applyFont="1" applyBorder="1">
      <alignment vertical="top"/>
    </xf>
    <xf numFmtId="44" fontId="0" fillId="0" borderId="10" xfId="1" applyFont="1" applyFill="1" applyBorder="1">
      <alignment vertical="top"/>
    </xf>
    <xf numFmtId="165" fontId="0" fillId="0" borderId="9" xfId="0" applyNumberFormat="1" applyFill="1" applyBorder="1">
      <alignment vertical="top"/>
    </xf>
    <xf numFmtId="7" fontId="0" fillId="0" borderId="10" xfId="0" applyNumberFormat="1" applyFill="1" applyBorder="1">
      <alignment vertical="top"/>
    </xf>
    <xf numFmtId="0" fontId="0" fillId="0" borderId="0" xfId="0" applyFill="1">
      <alignment vertical="top"/>
    </xf>
    <xf numFmtId="0" fontId="6" fillId="0" borderId="0" xfId="0" applyFont="1" applyFill="1" applyBorder="1">
      <alignment vertical="top"/>
    </xf>
    <xf numFmtId="0" fontId="6" fillId="0" borderId="0" xfId="0" applyFont="1">
      <alignment vertical="top"/>
    </xf>
    <xf numFmtId="0" fontId="0" fillId="6" borderId="51" xfId="0" applyFill="1" applyBorder="1">
      <alignment vertical="top"/>
    </xf>
    <xf numFmtId="0" fontId="0" fillId="6" borderId="45" xfId="0" applyFill="1" applyBorder="1">
      <alignment vertical="top"/>
    </xf>
    <xf numFmtId="0" fontId="0" fillId="6" borderId="48" xfId="0" applyFill="1" applyBorder="1">
      <alignment vertical="top"/>
    </xf>
    <xf numFmtId="0" fontId="0" fillId="6" borderId="52" xfId="0" applyFill="1" applyBorder="1">
      <alignment vertical="top"/>
    </xf>
    <xf numFmtId="44" fontId="0" fillId="6" borderId="48" xfId="1" applyFont="1" applyFill="1" applyBorder="1">
      <alignment vertical="top"/>
    </xf>
    <xf numFmtId="166" fontId="0" fillId="6" borderId="45" xfId="1" applyNumberFormat="1" applyFont="1" applyFill="1" applyBorder="1">
      <alignment vertical="top"/>
    </xf>
    <xf numFmtId="0" fontId="3" fillId="0" borderId="45" xfId="1" applyNumberFormat="1" applyFont="1" applyBorder="1">
      <alignment vertical="top"/>
    </xf>
    <xf numFmtId="0" fontId="3" fillId="0" borderId="46" xfId="1" applyNumberFormat="1" applyFont="1" applyBorder="1">
      <alignment vertical="top"/>
    </xf>
    <xf numFmtId="0" fontId="3" fillId="0" borderId="49" xfId="1" applyNumberFormat="1" applyFont="1" applyBorder="1">
      <alignment vertical="top"/>
    </xf>
    <xf numFmtId="0" fontId="3" fillId="0" borderId="48" xfId="1" applyNumberFormat="1" applyFont="1" applyBorder="1">
      <alignment vertical="top"/>
    </xf>
    <xf numFmtId="0" fontId="0" fillId="6" borderId="45" xfId="0" applyNumberFormat="1" applyFill="1" applyBorder="1">
      <alignment vertical="top"/>
    </xf>
    <xf numFmtId="0" fontId="3" fillId="0" borderId="48" xfId="1" applyNumberFormat="1" applyFont="1" applyFill="1" applyBorder="1">
      <alignment vertical="top"/>
    </xf>
    <xf numFmtId="0" fontId="0" fillId="6" borderId="45" xfId="1" applyNumberFormat="1" applyFont="1" applyFill="1" applyBorder="1">
      <alignment vertical="top"/>
    </xf>
    <xf numFmtId="0" fontId="0" fillId="0" borderId="22" xfId="0" applyBorder="1">
      <alignment vertical="top"/>
    </xf>
    <xf numFmtId="166" fontId="0" fillId="0" borderId="53" xfId="1" applyNumberFormat="1" applyFont="1" applyBorder="1">
      <alignment vertical="top"/>
    </xf>
    <xf numFmtId="166" fontId="0" fillId="0" borderId="54" xfId="1" applyNumberFormat="1" applyFont="1" applyBorder="1">
      <alignment vertical="top"/>
    </xf>
    <xf numFmtId="166" fontId="0" fillId="0" borderId="56" xfId="1" applyNumberFormat="1" applyFont="1" applyBorder="1">
      <alignment vertical="top"/>
    </xf>
    <xf numFmtId="0" fontId="0" fillId="6" borderId="53" xfId="0" applyFill="1" applyBorder="1">
      <alignment vertical="top"/>
    </xf>
    <xf numFmtId="44" fontId="0" fillId="6" borderId="55" xfId="1" applyFont="1" applyFill="1" applyBorder="1">
      <alignment vertical="top"/>
    </xf>
    <xf numFmtId="0" fontId="0" fillId="6" borderId="47" xfId="0" applyFill="1" applyBorder="1">
      <alignment vertical="top"/>
    </xf>
    <xf numFmtId="0" fontId="0" fillId="6" borderId="50" xfId="0" applyFill="1" applyBorder="1">
      <alignment vertical="top"/>
    </xf>
    <xf numFmtId="0" fontId="0" fillId="6" borderId="55" xfId="0" applyFill="1" applyBorder="1">
      <alignment vertical="top"/>
    </xf>
    <xf numFmtId="0" fontId="0" fillId="0" borderId="59" xfId="0" applyBorder="1">
      <alignment vertical="top"/>
    </xf>
    <xf numFmtId="0" fontId="6" fillId="0" borderId="64" xfId="0" applyFont="1" applyBorder="1">
      <alignment vertical="top"/>
    </xf>
    <xf numFmtId="0" fontId="6" fillId="0" borderId="65" xfId="0" applyFont="1" applyBorder="1">
      <alignment vertical="top"/>
    </xf>
    <xf numFmtId="0" fontId="0" fillId="0" borderId="67" xfId="0" applyBorder="1">
      <alignment vertical="top"/>
    </xf>
    <xf numFmtId="0" fontId="0" fillId="0" borderId="68" xfId="0" applyBorder="1">
      <alignment vertical="top"/>
    </xf>
    <xf numFmtId="0" fontId="0" fillId="0" borderId="69" xfId="0" applyBorder="1">
      <alignment vertical="top"/>
    </xf>
    <xf numFmtId="0" fontId="3" fillId="0" borderId="67" xfId="0" applyFont="1" applyBorder="1">
      <alignment vertical="top"/>
    </xf>
    <xf numFmtId="0" fontId="3" fillId="0" borderId="70" xfId="0" applyFont="1" applyBorder="1">
      <alignment vertical="top"/>
    </xf>
    <xf numFmtId="0" fontId="3" fillId="0" borderId="71" xfId="0" applyFont="1" applyBorder="1">
      <alignment vertical="top"/>
    </xf>
    <xf numFmtId="0" fontId="3" fillId="0" borderId="57" xfId="0" applyFont="1" applyBorder="1">
      <alignment vertical="top"/>
    </xf>
    <xf numFmtId="0" fontId="0" fillId="0" borderId="70" xfId="0" applyBorder="1">
      <alignment vertical="top"/>
    </xf>
    <xf numFmtId="0" fontId="3" fillId="6" borderId="48" xfId="1" applyNumberFormat="1" applyFont="1" applyFill="1" applyBorder="1">
      <alignment vertical="top"/>
    </xf>
    <xf numFmtId="167" fontId="3" fillId="6" borderId="53" xfId="0" applyNumberFormat="1" applyFont="1" applyFill="1" applyBorder="1">
      <alignment vertical="top"/>
    </xf>
    <xf numFmtId="167" fontId="0" fillId="0" borderId="54" xfId="0" applyNumberFormat="1" applyBorder="1">
      <alignment vertical="top"/>
    </xf>
    <xf numFmtId="167" fontId="3" fillId="0" borderId="55" xfId="0" applyNumberFormat="1" applyFont="1" applyFill="1" applyBorder="1">
      <alignment vertical="top"/>
    </xf>
    <xf numFmtId="167" fontId="0" fillId="6" borderId="53" xfId="0" applyNumberFormat="1" applyFill="1" applyBorder="1">
      <alignment vertical="top"/>
    </xf>
    <xf numFmtId="167" fontId="0" fillId="0" borderId="55" xfId="0" applyNumberFormat="1" applyBorder="1">
      <alignment vertical="top"/>
    </xf>
    <xf numFmtId="167" fontId="0" fillId="6" borderId="47" xfId="0" applyNumberFormat="1" applyFill="1" applyBorder="1">
      <alignment vertical="top"/>
    </xf>
    <xf numFmtId="167" fontId="0" fillId="6" borderId="50" xfId="0" applyNumberFormat="1" applyFill="1" applyBorder="1">
      <alignment vertical="top"/>
    </xf>
    <xf numFmtId="167" fontId="0" fillId="6" borderId="55" xfId="0" applyNumberFormat="1" applyFill="1" applyBorder="1">
      <alignment vertical="top"/>
    </xf>
    <xf numFmtId="0" fontId="6" fillId="0" borderId="66" xfId="0" applyFont="1" applyBorder="1" applyAlignment="1">
      <alignment horizontal="center"/>
    </xf>
    <xf numFmtId="0" fontId="6" fillId="0" borderId="58" xfId="0" applyFont="1" applyBorder="1" applyAlignment="1">
      <alignment horizontal="center" wrapText="1"/>
    </xf>
    <xf numFmtId="0" fontId="18" fillId="0" borderId="44" xfId="0" applyFont="1" applyBorder="1" applyAlignment="1">
      <alignment horizontal="center" wrapText="1"/>
    </xf>
    <xf numFmtId="0" fontId="22" fillId="0" borderId="0" xfId="0" applyFont="1">
      <alignment vertical="top"/>
    </xf>
    <xf numFmtId="165" fontId="7" fillId="0" borderId="74" xfId="1" applyNumberFormat="1" applyFont="1" applyFill="1" applyBorder="1" applyAlignment="1">
      <alignment horizontal="right" vertical="top"/>
    </xf>
    <xf numFmtId="1" fontId="7" fillId="0" borderId="6" xfId="0" applyNumberFormat="1" applyFont="1" applyBorder="1" applyAlignment="1">
      <alignment horizontal="center" vertical="top" wrapText="1"/>
    </xf>
    <xf numFmtId="0" fontId="0" fillId="0" borderId="40" xfId="0" applyBorder="1">
      <alignment vertical="top"/>
    </xf>
    <xf numFmtId="0" fontId="0" fillId="0" borderId="55" xfId="0" applyBorder="1">
      <alignment vertical="top"/>
    </xf>
    <xf numFmtId="0" fontId="0" fillId="0" borderId="48" xfId="0" applyBorder="1">
      <alignment vertical="top"/>
    </xf>
    <xf numFmtId="164" fontId="7" fillId="3" borderId="39" xfId="0" applyNumberFormat="1" applyFont="1" applyFill="1" applyBorder="1" applyAlignment="1">
      <alignment horizontal="left" vertical="top" wrapText="1"/>
    </xf>
    <xf numFmtId="164" fontId="7" fillId="3" borderId="53" xfId="0" applyNumberFormat="1" applyFont="1" applyFill="1" applyBorder="1" applyAlignment="1">
      <alignment horizontal="left" vertical="top" wrapText="1"/>
    </xf>
    <xf numFmtId="164" fontId="7" fillId="3" borderId="45" xfId="0" applyNumberFormat="1" applyFont="1" applyFill="1" applyBorder="1" applyAlignment="1">
      <alignment horizontal="left" vertical="top" wrapText="1"/>
    </xf>
    <xf numFmtId="164" fontId="7" fillId="3" borderId="54" xfId="0" applyNumberFormat="1" applyFont="1" applyFill="1" applyBorder="1" applyAlignment="1">
      <alignment horizontal="left" vertical="top" wrapText="1"/>
    </xf>
    <xf numFmtId="164" fontId="7" fillId="3" borderId="46" xfId="0" applyNumberFormat="1" applyFont="1" applyFill="1" applyBorder="1" applyAlignment="1">
      <alignment horizontal="left" vertical="top" wrapText="1"/>
    </xf>
    <xf numFmtId="1" fontId="7" fillId="5" borderId="54" xfId="0" applyNumberFormat="1" applyFont="1" applyFill="1" applyBorder="1" applyAlignment="1">
      <alignment horizontal="center" vertical="top" wrapText="1"/>
    </xf>
    <xf numFmtId="1" fontId="7" fillId="5" borderId="46" xfId="0" applyNumberFormat="1" applyFont="1" applyFill="1" applyBorder="1" applyAlignment="1">
      <alignment horizontal="center" vertical="top" wrapText="1"/>
    </xf>
    <xf numFmtId="1" fontId="7" fillId="0" borderId="80" xfId="0" applyNumberFormat="1" applyFont="1" applyBorder="1" applyAlignment="1">
      <alignment horizontal="center" vertical="top" wrapText="1"/>
    </xf>
    <xf numFmtId="164" fontId="7" fillId="3" borderId="82" xfId="0" applyNumberFormat="1" applyFont="1" applyFill="1" applyBorder="1" applyAlignment="1">
      <alignment horizontal="left" vertical="top" wrapText="1"/>
    </xf>
    <xf numFmtId="164" fontId="7" fillId="3" borderId="83" xfId="0" applyNumberFormat="1" applyFont="1" applyFill="1" applyBorder="1" applyAlignment="1">
      <alignment horizontal="left" vertical="top" wrapText="1"/>
    </xf>
    <xf numFmtId="164" fontId="7" fillId="3" borderId="81" xfId="0" applyNumberFormat="1" applyFont="1" applyFill="1" applyBorder="1" applyAlignment="1">
      <alignment horizontal="left" vertical="top" wrapText="1"/>
    </xf>
    <xf numFmtId="164" fontId="7" fillId="3" borderId="67" xfId="0" applyNumberFormat="1" applyFont="1" applyFill="1" applyBorder="1" applyAlignment="1">
      <alignment horizontal="left" vertical="top" wrapText="1"/>
    </xf>
    <xf numFmtId="164" fontId="7" fillId="3" borderId="68" xfId="0" applyNumberFormat="1" applyFont="1" applyFill="1" applyBorder="1" applyAlignment="1">
      <alignment horizontal="left" vertical="top" wrapText="1"/>
    </xf>
    <xf numFmtId="1" fontId="7" fillId="0" borderId="68" xfId="0" applyNumberFormat="1" applyFont="1" applyBorder="1" applyAlignment="1">
      <alignment horizontal="center" vertical="top" wrapText="1"/>
    </xf>
    <xf numFmtId="1" fontId="7" fillId="0" borderId="84" xfId="0" applyNumberFormat="1" applyFont="1" applyBorder="1" applyAlignment="1">
      <alignment horizontal="center" vertical="top" wrapText="1"/>
    </xf>
    <xf numFmtId="164" fontId="7" fillId="3" borderId="60" xfId="0" applyNumberFormat="1" applyFont="1" applyFill="1" applyBorder="1" applyAlignment="1">
      <alignment horizontal="left" vertical="top" wrapText="1"/>
    </xf>
    <xf numFmtId="164" fontId="7" fillId="3" borderId="61" xfId="0" applyNumberFormat="1" applyFont="1" applyFill="1" applyBorder="1" applyAlignment="1">
      <alignment horizontal="left" vertical="top" wrapText="1"/>
    </xf>
    <xf numFmtId="1" fontId="7" fillId="0" borderId="67" xfId="0" applyNumberFormat="1" applyFont="1" applyBorder="1" applyAlignment="1">
      <alignment horizontal="center" vertical="top" wrapText="1"/>
    </xf>
    <xf numFmtId="165" fontId="7" fillId="0" borderId="5" xfId="1" applyNumberFormat="1" applyFont="1" applyFill="1" applyBorder="1" applyAlignment="1">
      <alignment horizontal="center" vertical="top"/>
    </xf>
    <xf numFmtId="44" fontId="7" fillId="0" borderId="7" xfId="1" applyFont="1" applyFill="1" applyBorder="1" applyAlignment="1">
      <alignment horizontal="center" vertical="top"/>
    </xf>
    <xf numFmtId="165" fontId="7" fillId="0" borderId="28" xfId="1" applyNumberFormat="1" applyFont="1" applyFill="1" applyBorder="1" applyAlignment="1">
      <alignment horizontal="center" vertical="top"/>
    </xf>
    <xf numFmtId="44" fontId="7" fillId="0" borderId="1" xfId="1" applyFont="1" applyFill="1" applyBorder="1" applyAlignment="1">
      <alignment horizontal="center" vertical="top" wrapText="1"/>
    </xf>
    <xf numFmtId="1" fontId="7" fillId="7" borderId="39" xfId="0" applyNumberFormat="1" applyFont="1" applyFill="1" applyBorder="1" applyAlignment="1">
      <alignment horizontal="center" vertical="top" wrapText="1"/>
    </xf>
    <xf numFmtId="1" fontId="7" fillId="7" borderId="7" xfId="0" applyNumberFormat="1" applyFont="1" applyFill="1" applyBorder="1" applyAlignment="1">
      <alignment horizontal="center" vertical="top" wrapText="1"/>
    </xf>
    <xf numFmtId="1" fontId="7" fillId="7" borderId="35" xfId="0" applyNumberFormat="1" applyFont="1" applyFill="1" applyBorder="1" applyAlignment="1">
      <alignment horizontal="center" vertical="top" wrapText="1"/>
    </xf>
    <xf numFmtId="1" fontId="7" fillId="7" borderId="5" xfId="0" applyNumberFormat="1" applyFont="1" applyFill="1" applyBorder="1" applyAlignment="1">
      <alignment horizontal="center" vertical="top" wrapText="1"/>
    </xf>
    <xf numFmtId="165" fontId="7" fillId="0" borderId="5" xfId="1" applyNumberFormat="1" applyFont="1" applyFill="1" applyBorder="1" applyAlignment="1">
      <alignment horizontal="center" vertical="center"/>
    </xf>
    <xf numFmtId="44" fontId="7" fillId="0" borderId="1" xfId="1" applyFont="1" applyFill="1" applyBorder="1" applyAlignment="1">
      <alignment horizontal="center" vertical="center"/>
    </xf>
    <xf numFmtId="44" fontId="7" fillId="0" borderId="31" xfId="1" applyFont="1" applyFill="1" applyBorder="1">
      <alignment vertical="top"/>
    </xf>
    <xf numFmtId="44" fontId="7" fillId="0" borderId="2" xfId="1" applyFont="1" applyFill="1" applyBorder="1">
      <alignment vertical="top"/>
    </xf>
    <xf numFmtId="44" fontId="7" fillId="0" borderId="86" xfId="1" applyFont="1" applyFill="1" applyBorder="1" applyAlignment="1">
      <alignment horizontal="left" vertical="top" wrapText="1"/>
    </xf>
    <xf numFmtId="7" fontId="7" fillId="0" borderId="6" xfId="0" applyNumberFormat="1" applyFont="1" applyFill="1" applyBorder="1" applyAlignment="1">
      <alignment horizontal="left" vertical="top" wrapText="1"/>
    </xf>
    <xf numFmtId="44" fontId="0" fillId="0" borderId="53" xfId="4" applyFont="1" applyFill="1" applyBorder="1" applyAlignment="1">
      <alignment horizontal="center" vertical="top" wrapText="1"/>
    </xf>
    <xf numFmtId="44" fontId="0" fillId="0" borderId="45" xfId="4" applyFont="1" applyFill="1" applyBorder="1" applyAlignment="1">
      <alignment horizontal="center" vertical="top" wrapText="1"/>
    </xf>
    <xf numFmtId="44" fontId="0" fillId="0" borderId="54" xfId="4" applyFont="1" applyFill="1" applyBorder="1" applyAlignment="1">
      <alignment horizontal="center" vertical="top" wrapText="1"/>
    </xf>
    <xf numFmtId="44" fontId="0" fillId="0" borderId="46" xfId="4" applyFont="1" applyFill="1" applyBorder="1" applyAlignment="1">
      <alignment horizontal="center" vertical="top" wrapText="1"/>
    </xf>
    <xf numFmtId="7" fontId="7" fillId="0" borderId="46" xfId="0" applyNumberFormat="1" applyFont="1" applyFill="1" applyBorder="1">
      <alignment vertical="top"/>
    </xf>
    <xf numFmtId="7" fontId="7" fillId="0" borderId="46" xfId="0" applyNumberFormat="1" applyFont="1" applyFill="1" applyBorder="1" applyAlignment="1">
      <alignment horizontal="left" vertical="top" wrapText="1"/>
    </xf>
    <xf numFmtId="7" fontId="7" fillId="0" borderId="52" xfId="0" applyNumberFormat="1" applyFont="1" applyFill="1" applyBorder="1" applyAlignment="1">
      <alignment horizontal="left" vertical="top" wrapText="1"/>
    </xf>
    <xf numFmtId="44" fontId="7" fillId="0" borderId="36" xfId="1" applyFont="1" applyFill="1" applyBorder="1" applyAlignment="1">
      <alignment horizontal="left" vertical="top" wrapText="1"/>
    </xf>
    <xf numFmtId="165" fontId="7" fillId="0" borderId="1" xfId="0" applyNumberFormat="1" applyFont="1" applyFill="1" applyBorder="1" applyAlignment="1">
      <alignment horizontal="center" vertical="center" wrapText="1"/>
    </xf>
    <xf numFmtId="44" fontId="7" fillId="0" borderId="1" xfId="1" applyFont="1" applyFill="1" applyBorder="1" applyAlignment="1">
      <alignment horizontal="left" vertical="top" wrapText="1"/>
    </xf>
    <xf numFmtId="165" fontId="7" fillId="0" borderId="74" xfId="0" applyNumberFormat="1" applyFont="1" applyFill="1" applyBorder="1" applyAlignment="1">
      <alignment horizontal="center" vertical="center" wrapText="1"/>
    </xf>
    <xf numFmtId="165" fontId="7" fillId="0" borderId="86" xfId="0" applyNumberFormat="1" applyFont="1" applyFill="1" applyBorder="1" applyAlignment="1">
      <alignment horizontal="center" vertical="center" wrapText="1"/>
    </xf>
    <xf numFmtId="44" fontId="7" fillId="0" borderId="34" xfId="4" applyFont="1" applyFill="1" applyBorder="1" applyAlignment="1">
      <alignment horizontal="center" vertical="top" wrapText="1"/>
    </xf>
    <xf numFmtId="44" fontId="7" fillId="0" borderId="19" xfId="4" applyFont="1" applyFill="1" applyBorder="1" applyAlignment="1">
      <alignment horizontal="center" vertical="top" wrapText="1"/>
    </xf>
    <xf numFmtId="44" fontId="7" fillId="0" borderId="77" xfId="4" applyFont="1" applyFill="1" applyBorder="1" applyAlignment="1">
      <alignment horizontal="center" vertical="top" wrapText="1"/>
    </xf>
    <xf numFmtId="44" fontId="7" fillId="0" borderId="5" xfId="4" applyFont="1" applyFill="1" applyBorder="1" applyAlignment="1">
      <alignment horizontal="center" vertical="top" wrapText="1"/>
    </xf>
    <xf numFmtId="44" fontId="7" fillId="0" borderId="1" xfId="4" applyFont="1" applyFill="1" applyBorder="1" applyAlignment="1">
      <alignment horizontal="center" vertical="top" wrapText="1"/>
    </xf>
    <xf numFmtId="44" fontId="7" fillId="0" borderId="39" xfId="4" applyFont="1" applyFill="1" applyBorder="1" applyAlignment="1">
      <alignment horizontal="center" vertical="top" wrapText="1"/>
    </xf>
    <xf numFmtId="44" fontId="7" fillId="0" borderId="2" xfId="1" applyFont="1" applyFill="1" applyBorder="1" applyAlignment="1">
      <alignment horizontal="center" vertical="center"/>
    </xf>
    <xf numFmtId="44" fontId="7" fillId="0" borderId="25" xfId="1" applyFont="1" applyFill="1" applyBorder="1" applyAlignment="1">
      <alignment horizontal="center" vertical="top"/>
    </xf>
    <xf numFmtId="44" fontId="7" fillId="0" borderId="2" xfId="1" applyFont="1" applyFill="1" applyBorder="1" applyAlignment="1">
      <alignment horizontal="center" vertical="top"/>
    </xf>
    <xf numFmtId="44" fontId="7" fillId="0" borderId="75" xfId="1" applyFont="1" applyFill="1" applyBorder="1" applyAlignment="1">
      <alignment horizontal="center" vertical="top"/>
    </xf>
    <xf numFmtId="165" fontId="7" fillId="0" borderId="1" xfId="0" applyNumberFormat="1" applyFont="1" applyFill="1" applyBorder="1" applyAlignment="1">
      <alignment horizontal="center" vertical="top" wrapText="1"/>
    </xf>
    <xf numFmtId="1" fontId="7" fillId="0" borderId="70" xfId="0" applyNumberFormat="1" applyFont="1" applyFill="1" applyBorder="1" applyAlignment="1">
      <alignment horizontal="center" vertical="top" wrapText="1"/>
    </xf>
    <xf numFmtId="1" fontId="7" fillId="0" borderId="48" xfId="0" applyNumberFormat="1" applyFont="1" applyFill="1" applyBorder="1" applyAlignment="1">
      <alignment horizontal="center" vertical="top" wrapText="1"/>
    </xf>
    <xf numFmtId="1" fontId="7" fillId="0" borderId="55" xfId="0" applyNumberFormat="1" applyFont="1" applyFill="1" applyBorder="1" applyAlignment="1">
      <alignment horizontal="center" vertical="top" wrapText="1"/>
    </xf>
    <xf numFmtId="1" fontId="7" fillId="0" borderId="54" xfId="0" applyNumberFormat="1" applyFont="1" applyFill="1" applyBorder="1" applyAlignment="1">
      <alignment horizontal="center" vertical="top" wrapText="1"/>
    </xf>
    <xf numFmtId="1" fontId="7" fillId="0" borderId="46" xfId="0" applyNumberFormat="1" applyFont="1" applyFill="1" applyBorder="1" applyAlignment="1">
      <alignment horizontal="center" vertical="top" wrapText="1"/>
    </xf>
    <xf numFmtId="1" fontId="7" fillId="0" borderId="68" xfId="0" applyNumberFormat="1" applyFont="1" applyFill="1" applyBorder="1" applyAlignment="1">
      <alignment horizontal="center" vertical="top" wrapText="1"/>
    </xf>
    <xf numFmtId="1" fontId="7" fillId="5" borderId="46" xfId="8" applyNumberFormat="1" applyFont="1" applyFill="1" applyBorder="1" applyAlignment="1">
      <alignment horizontal="center" vertical="top" wrapText="1"/>
    </xf>
    <xf numFmtId="1" fontId="7" fillId="5" borderId="53" xfId="8" applyNumberFormat="1" applyFont="1" applyFill="1" applyBorder="1" applyAlignment="1">
      <alignment horizontal="center" vertical="top" wrapText="1"/>
    </xf>
    <xf numFmtId="0" fontId="0" fillId="0" borderId="48" xfId="1" applyNumberFormat="1" applyFont="1" applyFill="1" applyBorder="1">
      <alignment vertical="top"/>
    </xf>
    <xf numFmtId="166" fontId="0" fillId="0" borderId="55" xfId="1" applyNumberFormat="1" applyFont="1" applyFill="1" applyBorder="1">
      <alignment vertical="top"/>
    </xf>
    <xf numFmtId="166" fontId="0" fillId="0" borderId="55" xfId="0" applyNumberFormat="1" applyFill="1" applyBorder="1" applyAlignment="1">
      <alignment horizontal="center" vertical="top"/>
    </xf>
    <xf numFmtId="0" fontId="0" fillId="0" borderId="48" xfId="0" applyFill="1" applyBorder="1" applyAlignment="1">
      <alignment horizontal="right" vertical="top"/>
    </xf>
    <xf numFmtId="1" fontId="7" fillId="0" borderId="77" xfId="0" applyNumberFormat="1" applyFont="1" applyFill="1" applyBorder="1" applyAlignment="1">
      <alignment horizontal="center" vertical="top" wrapText="1"/>
    </xf>
    <xf numFmtId="1" fontId="7" fillId="0" borderId="6" xfId="0" applyNumberFormat="1" applyFont="1" applyFill="1" applyBorder="1" applyAlignment="1">
      <alignment horizontal="center" vertical="top" wrapText="1"/>
    </xf>
    <xf numFmtId="1" fontId="7" fillId="0" borderId="61" xfId="0" applyNumberFormat="1" applyFont="1" applyFill="1" applyBorder="1" applyAlignment="1">
      <alignment horizontal="center" vertical="top" wrapText="1"/>
    </xf>
    <xf numFmtId="165" fontId="7" fillId="5" borderId="34" xfId="0" applyNumberFormat="1" applyFont="1" applyFill="1" applyBorder="1" applyAlignment="1">
      <alignment horizontal="left" vertical="top" wrapText="1"/>
    </xf>
    <xf numFmtId="165" fontId="7" fillId="5" borderId="19" xfId="0" applyNumberFormat="1" applyFont="1" applyFill="1" applyBorder="1" applyAlignment="1">
      <alignment horizontal="left" vertical="top" wrapText="1"/>
    </xf>
    <xf numFmtId="165" fontId="11" fillId="5" borderId="5" xfId="0" applyNumberFormat="1" applyFont="1" applyFill="1" applyBorder="1" applyAlignment="1">
      <alignment horizontal="left" vertical="top" wrapText="1"/>
    </xf>
    <xf numFmtId="165" fontId="11" fillId="5" borderId="1" xfId="0" applyNumberFormat="1" applyFont="1" applyFill="1" applyBorder="1" applyAlignment="1">
      <alignment horizontal="left" vertical="top" wrapText="1"/>
    </xf>
    <xf numFmtId="165" fontId="11" fillId="5" borderId="34" xfId="0" applyNumberFormat="1" applyFont="1" applyFill="1" applyBorder="1" applyAlignment="1">
      <alignment horizontal="left" vertical="top" wrapText="1"/>
    </xf>
    <xf numFmtId="165" fontId="11" fillId="5" borderId="19" xfId="0" applyNumberFormat="1" applyFont="1" applyFill="1" applyBorder="1" applyAlignment="1">
      <alignment horizontal="left" vertical="top" wrapText="1"/>
    </xf>
    <xf numFmtId="165" fontId="7" fillId="5" borderId="1" xfId="0" applyNumberFormat="1" applyFont="1" applyFill="1" applyBorder="1" applyAlignment="1">
      <alignment horizontal="right" vertical="top"/>
    </xf>
    <xf numFmtId="165" fontId="7" fillId="0" borderId="5" xfId="1" applyNumberFormat="1" applyFont="1" applyFill="1" applyBorder="1" applyAlignment="1">
      <alignment horizontal="right" vertical="top"/>
    </xf>
    <xf numFmtId="44" fontId="7" fillId="0" borderId="7" xfId="1" applyFont="1" applyFill="1" applyBorder="1" applyAlignment="1">
      <alignment horizontal="center" vertical="center"/>
    </xf>
    <xf numFmtId="6" fontId="7" fillId="0" borderId="1" xfId="4" applyNumberFormat="1" applyFont="1" applyFill="1" applyBorder="1" applyAlignment="1">
      <alignment horizontal="center" vertical="top" wrapText="1"/>
    </xf>
    <xf numFmtId="44" fontId="7" fillId="0" borderId="36" xfId="1" applyFont="1" applyFill="1" applyBorder="1">
      <alignment vertical="top"/>
    </xf>
    <xf numFmtId="44" fontId="7" fillId="0" borderId="5" xfId="1" applyNumberFormat="1" applyFont="1" applyFill="1" applyBorder="1" applyAlignment="1">
      <alignment horizontal="right" vertical="top"/>
    </xf>
    <xf numFmtId="165" fontId="7" fillId="0" borderId="73" xfId="1" applyNumberFormat="1" applyFont="1" applyFill="1" applyBorder="1" applyAlignment="1">
      <alignment horizontal="center" vertical="top"/>
    </xf>
    <xf numFmtId="44" fontId="7" fillId="0" borderId="74" xfId="1" applyFont="1" applyFill="1" applyBorder="1" applyAlignment="1">
      <alignment horizontal="center" vertical="top"/>
    </xf>
    <xf numFmtId="14" fontId="7" fillId="0" borderId="1" xfId="0" applyNumberFormat="1" applyFont="1" applyFill="1" applyBorder="1" applyAlignment="1">
      <alignment horizontal="center" vertical="top" wrapText="1"/>
    </xf>
    <xf numFmtId="0" fontId="7" fillId="0" borderId="73" xfId="0" applyFont="1" applyFill="1" applyBorder="1" applyAlignment="1">
      <alignment horizontal="left" vertical="top" wrapText="1"/>
    </xf>
    <xf numFmtId="0" fontId="7" fillId="0" borderId="74" xfId="0" applyFont="1" applyFill="1" applyBorder="1" applyAlignment="1">
      <alignment horizontal="center" vertical="top" wrapText="1"/>
    </xf>
    <xf numFmtId="14" fontId="7" fillId="0" borderId="74" xfId="0" applyNumberFormat="1" applyFont="1" applyFill="1" applyBorder="1" applyAlignment="1">
      <alignment horizontal="center" vertical="top" wrapText="1"/>
    </xf>
    <xf numFmtId="0" fontId="7" fillId="0" borderId="74" xfId="0" applyFont="1" applyFill="1" applyBorder="1" applyAlignment="1">
      <alignment horizontal="left" vertical="top" wrapText="1"/>
    </xf>
    <xf numFmtId="44" fontId="7" fillId="0" borderId="75" xfId="1" applyFont="1" applyFill="1" applyBorder="1" applyAlignment="1">
      <alignment horizontal="left" vertical="top" wrapText="1"/>
    </xf>
    <xf numFmtId="44" fontId="7" fillId="0" borderId="73" xfId="4" applyFont="1" applyFill="1" applyBorder="1" applyAlignment="1">
      <alignment horizontal="center" vertical="top" wrapText="1"/>
    </xf>
    <xf numFmtId="44" fontId="7" fillId="0" borderId="74" xfId="4" applyFont="1" applyFill="1" applyBorder="1" applyAlignment="1">
      <alignment horizontal="center" vertical="top" wrapText="1"/>
    </xf>
    <xf numFmtId="44" fontId="7" fillId="0" borderId="76" xfId="1" applyFont="1" applyFill="1" applyBorder="1">
      <alignment vertical="top"/>
    </xf>
    <xf numFmtId="165" fontId="7" fillId="0" borderId="34" xfId="1" applyNumberFormat="1" applyFont="1" applyFill="1" applyBorder="1" applyAlignment="1">
      <alignment horizontal="right" vertical="top"/>
    </xf>
    <xf numFmtId="44" fontId="7" fillId="0" borderId="54" xfId="4" applyFont="1" applyFill="1" applyBorder="1" applyAlignment="1">
      <alignment horizontal="center" vertical="top" wrapText="1"/>
    </xf>
    <xf numFmtId="44" fontId="7" fillId="0" borderId="55" xfId="4" applyFont="1" applyFill="1" applyBorder="1" applyAlignment="1">
      <alignment horizontal="center" vertical="top" wrapText="1"/>
    </xf>
    <xf numFmtId="44" fontId="7" fillId="0" borderId="74" xfId="1" applyFont="1" applyFill="1" applyBorder="1" applyAlignment="1">
      <alignment horizontal="center" vertical="top" wrapText="1"/>
    </xf>
    <xf numFmtId="0" fontId="7" fillId="0" borderId="25" xfId="0" applyFont="1" applyFill="1" applyBorder="1" applyAlignment="1">
      <alignment horizontal="center" vertical="top" wrapText="1"/>
    </xf>
    <xf numFmtId="1" fontId="7" fillId="0" borderId="28" xfId="0" applyNumberFormat="1" applyFont="1" applyFill="1" applyBorder="1" applyAlignment="1">
      <alignment horizontal="center" vertical="top" wrapText="1"/>
    </xf>
    <xf numFmtId="1" fontId="7" fillId="0" borderId="36" xfId="0" applyNumberFormat="1" applyFont="1" applyFill="1" applyBorder="1" applyAlignment="1">
      <alignment horizontal="center" vertical="top" wrapText="1"/>
    </xf>
    <xf numFmtId="1" fontId="7" fillId="0" borderId="25" xfId="0" applyNumberFormat="1" applyFont="1" applyFill="1" applyBorder="1" applyAlignment="1">
      <alignment horizontal="center" vertical="top" wrapText="1"/>
    </xf>
    <xf numFmtId="0" fontId="7" fillId="0" borderId="76" xfId="0" applyFont="1" applyFill="1" applyBorder="1" applyAlignment="1">
      <alignment horizontal="center" vertical="top" wrapText="1"/>
    </xf>
    <xf numFmtId="1" fontId="7" fillId="0" borderId="73" xfId="0" applyNumberFormat="1" applyFont="1" applyFill="1" applyBorder="1" applyAlignment="1">
      <alignment horizontal="center" vertical="top" wrapText="1"/>
    </xf>
    <xf numFmtId="1" fontId="7" fillId="0" borderId="74" xfId="0" applyNumberFormat="1" applyFont="1" applyFill="1" applyBorder="1" applyAlignment="1">
      <alignment horizontal="center" vertical="top" wrapText="1"/>
    </xf>
    <xf numFmtId="1" fontId="7" fillId="0" borderId="76" xfId="0" applyNumberFormat="1" applyFont="1" applyFill="1" applyBorder="1" applyAlignment="1">
      <alignment horizontal="center" vertical="top" wrapText="1"/>
    </xf>
    <xf numFmtId="1" fontId="7" fillId="0" borderId="82" xfId="0" applyNumberFormat="1" applyFont="1" applyFill="1" applyBorder="1" applyAlignment="1">
      <alignment horizontal="center" vertical="top" wrapText="1"/>
    </xf>
    <xf numFmtId="1" fontId="7" fillId="0" borderId="83" xfId="8" applyNumberFormat="1" applyFont="1" applyFill="1" applyBorder="1" applyAlignment="1">
      <alignment horizontal="center" vertical="top" wrapText="1"/>
    </xf>
    <xf numFmtId="1" fontId="7" fillId="0" borderId="46" xfId="8" applyNumberFormat="1" applyFont="1" applyFill="1" applyBorder="1" applyAlignment="1">
      <alignment horizontal="center" vertical="center" wrapText="1"/>
    </xf>
    <xf numFmtId="1" fontId="7" fillId="0" borderId="46" xfId="8" applyNumberFormat="1" applyFont="1" applyFill="1" applyBorder="1" applyAlignment="1">
      <alignment horizontal="center" vertical="top" wrapText="1"/>
    </xf>
    <xf numFmtId="1" fontId="7" fillId="0" borderId="48" xfId="8" applyNumberFormat="1" applyFont="1" applyFill="1" applyBorder="1" applyAlignment="1">
      <alignment horizontal="center" vertical="top" wrapText="1"/>
    </xf>
    <xf numFmtId="1" fontId="7" fillId="0" borderId="7" xfId="0" applyNumberFormat="1" applyFont="1" applyFill="1" applyBorder="1" applyAlignment="1">
      <alignment horizontal="center" vertical="top" wrapText="1"/>
    </xf>
    <xf numFmtId="1" fontId="7" fillId="0" borderId="35" xfId="0" applyNumberFormat="1" applyFont="1" applyFill="1" applyBorder="1" applyAlignment="1">
      <alignment horizontal="center" vertical="top" wrapText="1"/>
    </xf>
    <xf numFmtId="1" fontId="24" fillId="0" borderId="35" xfId="0" applyNumberFormat="1" applyFont="1" applyFill="1" applyBorder="1" applyAlignment="1">
      <alignment horizontal="center" vertical="top" wrapText="1"/>
    </xf>
    <xf numFmtId="1" fontId="7" fillId="0" borderId="32" xfId="0" applyNumberFormat="1" applyFont="1" applyFill="1" applyBorder="1" applyAlignment="1">
      <alignment horizontal="center" vertical="top" wrapText="1"/>
    </xf>
    <xf numFmtId="1" fontId="7" fillId="0" borderId="43" xfId="0" applyNumberFormat="1" applyFont="1" applyFill="1" applyBorder="1" applyAlignment="1">
      <alignment horizontal="center" vertical="top" wrapText="1"/>
    </xf>
    <xf numFmtId="1" fontId="7" fillId="0" borderId="80" xfId="0" applyNumberFormat="1" applyFont="1" applyFill="1" applyBorder="1" applyAlignment="1">
      <alignment horizontal="center" vertical="top" wrapText="1"/>
    </xf>
    <xf numFmtId="1" fontId="7" fillId="0" borderId="63" xfId="0" applyNumberFormat="1" applyFont="1" applyFill="1" applyBorder="1" applyAlignment="1">
      <alignment horizontal="center" vertical="top" wrapText="1"/>
    </xf>
    <xf numFmtId="0" fontId="7" fillId="0" borderId="1" xfId="0" applyFont="1" applyFill="1" applyBorder="1" applyAlignment="1">
      <alignment horizontal="center" vertical="top"/>
    </xf>
    <xf numFmtId="1" fontId="7" fillId="0" borderId="1" xfId="0" applyNumberFormat="1" applyFont="1" applyFill="1" applyBorder="1" applyAlignment="1">
      <alignment horizontal="center" vertical="top"/>
    </xf>
    <xf numFmtId="0" fontId="7" fillId="0" borderId="39" xfId="0" applyFont="1" applyFill="1" applyBorder="1" applyAlignment="1">
      <alignment horizontal="center" vertical="top"/>
    </xf>
    <xf numFmtId="9" fontId="7" fillId="0" borderId="2" xfId="2" applyFont="1" applyFill="1" applyBorder="1" applyAlignment="1">
      <alignment horizontal="center" vertical="top"/>
    </xf>
    <xf numFmtId="0" fontId="7" fillId="0" borderId="43" xfId="0" applyFont="1" applyFill="1" applyBorder="1" applyAlignment="1">
      <alignment horizontal="center" vertical="top"/>
    </xf>
    <xf numFmtId="0" fontId="7" fillId="0" borderId="36" xfId="0" applyFont="1" applyFill="1" applyBorder="1" applyAlignment="1">
      <alignment horizontal="center" vertical="top"/>
    </xf>
    <xf numFmtId="1" fontId="7" fillId="0" borderId="36" xfId="0" applyNumberFormat="1" applyFont="1" applyFill="1" applyBorder="1" applyAlignment="1">
      <alignment horizontal="center" vertical="top"/>
    </xf>
    <xf numFmtId="9" fontId="7" fillId="0" borderId="22" xfId="2" applyFont="1" applyFill="1" applyBorder="1" applyAlignment="1">
      <alignment horizontal="center" vertical="top"/>
    </xf>
    <xf numFmtId="0" fontId="25" fillId="2" borderId="77" xfId="0" applyFont="1" applyFill="1" applyBorder="1" applyAlignment="1">
      <alignment horizontal="center" vertical="center" wrapText="1" readingOrder="1"/>
    </xf>
    <xf numFmtId="0" fontId="25" fillId="2" borderId="86" xfId="0" applyFont="1" applyFill="1" applyBorder="1" applyAlignment="1">
      <alignment horizontal="center" vertical="center" wrapText="1" readingOrder="1"/>
    </xf>
    <xf numFmtId="0" fontId="25" fillId="2" borderId="78" xfId="0" applyFont="1" applyFill="1" applyBorder="1" applyAlignment="1">
      <alignment horizontal="center" vertical="center" wrapText="1" readingOrder="1"/>
    </xf>
    <xf numFmtId="1" fontId="7" fillId="0" borderId="1" xfId="2" applyNumberFormat="1" applyFont="1" applyFill="1" applyBorder="1" applyAlignment="1">
      <alignment horizontal="center" vertical="top"/>
    </xf>
    <xf numFmtId="0" fontId="6" fillId="2" borderId="24" xfId="0" applyFont="1" applyFill="1" applyBorder="1" applyAlignment="1">
      <alignment horizontal="center" vertical="center" wrapText="1" readingOrder="1"/>
    </xf>
    <xf numFmtId="1" fontId="6" fillId="2" borderId="24" xfId="0" applyNumberFormat="1" applyFont="1" applyFill="1" applyBorder="1" applyAlignment="1">
      <alignment horizontal="center" vertical="center" wrapText="1" readingOrder="1"/>
    </xf>
    <xf numFmtId="1" fontId="7" fillId="0" borderId="39" xfId="0" applyNumberFormat="1" applyFont="1" applyFill="1" applyBorder="1" applyAlignment="1">
      <alignment horizontal="center" vertical="top" wrapText="1"/>
    </xf>
    <xf numFmtId="0" fontId="7" fillId="0" borderId="7" xfId="0"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1" fontId="7" fillId="0" borderId="54" xfId="8" applyNumberFormat="1" applyFont="1" applyFill="1" applyBorder="1" applyAlignment="1">
      <alignment horizontal="center" vertical="top" wrapText="1"/>
    </xf>
    <xf numFmtId="1" fontId="7" fillId="0" borderId="5" xfId="0" applyNumberFormat="1" applyFont="1" applyFill="1" applyBorder="1" applyAlignment="1">
      <alignment horizontal="center" vertical="top" wrapText="1"/>
    </xf>
    <xf numFmtId="1" fontId="7" fillId="0" borderId="5" xfId="0" applyNumberFormat="1"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1" fontId="7" fillId="0" borderId="39" xfId="0" applyNumberFormat="1" applyFont="1" applyFill="1" applyBorder="1" applyAlignment="1">
      <alignment horizontal="center" vertical="top" wrapText="1"/>
    </xf>
    <xf numFmtId="44" fontId="7" fillId="0" borderId="28" xfId="4" applyFont="1" applyFill="1" applyBorder="1" applyAlignment="1">
      <alignment horizontal="center" vertical="top" wrapText="1"/>
    </xf>
    <xf numFmtId="44" fontId="7" fillId="0" borderId="36" xfId="4" applyFont="1" applyFill="1" applyBorder="1" applyAlignment="1">
      <alignment horizontal="center" vertical="top" wrapText="1"/>
    </xf>
    <xf numFmtId="0" fontId="3" fillId="0" borderId="0" xfId="0" applyFont="1" applyFill="1" applyAlignment="1">
      <alignment vertical="top" wrapText="1"/>
    </xf>
    <xf numFmtId="0" fontId="3" fillId="0" borderId="0" xfId="0" applyFont="1" applyAlignment="1">
      <alignment vertical="top" wrapText="1"/>
    </xf>
    <xf numFmtId="0" fontId="7" fillId="0" borderId="0" xfId="0" applyFont="1" applyAlignment="1">
      <alignment vertical="top" wrapText="1"/>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6" fillId="0" borderId="62" xfId="0" applyFont="1" applyBorder="1" applyAlignment="1">
      <alignment horizontal="left" vertical="center"/>
    </xf>
    <xf numFmtId="0" fontId="6" fillId="0" borderId="63" xfId="0" applyFont="1" applyBorder="1" applyAlignment="1">
      <alignment horizontal="left" vertical="center"/>
    </xf>
    <xf numFmtId="0" fontId="6" fillId="0" borderId="59" xfId="0" applyFont="1" applyBorder="1" applyAlignment="1">
      <alignment horizontal="left" vertical="center"/>
    </xf>
    <xf numFmtId="0" fontId="6" fillId="0" borderId="72" xfId="0" applyFont="1" applyBorder="1" applyAlignment="1">
      <alignment horizontal="left" vertical="center"/>
    </xf>
    <xf numFmtId="0" fontId="6" fillId="0" borderId="64" xfId="0" applyFont="1" applyBorder="1" applyAlignment="1">
      <alignment horizontal="left" vertical="center"/>
    </xf>
    <xf numFmtId="0" fontId="6" fillId="2" borderId="3" xfId="0" applyFont="1" applyFill="1" applyBorder="1" applyAlignment="1">
      <alignment horizontal="center" vertical="center" wrapText="1"/>
    </xf>
    <xf numFmtId="0" fontId="0" fillId="0" borderId="8" xfId="0" applyBorder="1" applyAlignment="1">
      <alignment horizontal="center" vertical="center"/>
    </xf>
    <xf numFmtId="0" fontId="0" fillId="0" borderId="4" xfId="0" applyBorder="1" applyAlignment="1">
      <alignment horizontal="center" vertical="center"/>
    </xf>
    <xf numFmtId="0" fontId="18" fillId="0" borderId="0" xfId="0" applyFont="1" applyFill="1" applyBorder="1" applyAlignment="1">
      <alignment horizontal="left" vertical="top" wrapText="1"/>
    </xf>
    <xf numFmtId="0" fontId="6" fillId="0" borderId="0" xfId="0" applyFont="1" applyAlignment="1">
      <alignment vertical="top"/>
    </xf>
    <xf numFmtId="44" fontId="7" fillId="5" borderId="2" xfId="1" applyFont="1" applyFill="1" applyBorder="1" applyAlignment="1">
      <alignment horizontal="center" vertical="top" wrapText="1"/>
    </xf>
    <xf numFmtId="44" fontId="7" fillId="5" borderId="79" xfId="1" applyFont="1" applyFill="1" applyBorder="1" applyAlignment="1">
      <alignment horizontal="center" vertical="top" wrapText="1"/>
    </xf>
    <xf numFmtId="44" fontId="7" fillId="5" borderId="85" xfId="1" applyFont="1" applyFill="1" applyBorder="1" applyAlignment="1">
      <alignment horizontal="center" vertical="top" wrapText="1"/>
    </xf>
    <xf numFmtId="0" fontId="7" fillId="5" borderId="2" xfId="4" applyNumberFormat="1" applyFont="1" applyFill="1" applyBorder="1" applyAlignment="1">
      <alignment horizontal="center" vertical="top" wrapText="1"/>
    </xf>
    <xf numFmtId="0" fontId="7" fillId="5" borderId="79" xfId="4" applyNumberFormat="1" applyFont="1" applyFill="1" applyBorder="1" applyAlignment="1">
      <alignment horizontal="center" vertical="top" wrapText="1"/>
    </xf>
    <xf numFmtId="0" fontId="7" fillId="5" borderId="85" xfId="4" applyNumberFormat="1" applyFont="1" applyFill="1" applyBorder="1" applyAlignment="1">
      <alignment horizontal="center" vertical="top" wrapText="1"/>
    </xf>
    <xf numFmtId="0" fontId="21" fillId="0" borderId="0" xfId="0" applyFont="1" applyAlignment="1">
      <alignment horizontal="left" vertical="top"/>
    </xf>
    <xf numFmtId="0" fontId="7" fillId="0" borderId="0" xfId="0" applyFont="1" applyFill="1" applyBorder="1" applyAlignment="1">
      <alignment horizontal="left" vertical="top" wrapText="1"/>
    </xf>
    <xf numFmtId="0" fontId="0" fillId="0" borderId="0" xfId="0" applyAlignment="1">
      <alignment vertical="top" wrapText="1"/>
    </xf>
    <xf numFmtId="0" fontId="4" fillId="0" borderId="0" xfId="0" applyFont="1" applyAlignment="1">
      <alignment horizontal="center" vertical="top" wrapText="1" readingOrder="1"/>
    </xf>
    <xf numFmtId="0" fontId="6" fillId="2" borderId="8" xfId="0" applyFont="1" applyFill="1" applyBorder="1" applyAlignment="1">
      <alignment horizontal="center" vertical="center" wrapText="1"/>
    </xf>
    <xf numFmtId="0" fontId="10"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164" fontId="7" fillId="3" borderId="2" xfId="0" applyNumberFormat="1" applyFont="1" applyFill="1" applyBorder="1" applyAlignment="1">
      <alignment horizontal="center" vertical="top" wrapText="1"/>
    </xf>
    <xf numFmtId="164" fontId="7" fillId="3" borderId="93" xfId="0" applyNumberFormat="1" applyFont="1" applyFill="1" applyBorder="1" applyAlignment="1">
      <alignment horizontal="center" vertical="top" wrapText="1"/>
    </xf>
    <xf numFmtId="164" fontId="7" fillId="3" borderId="31" xfId="0" applyNumberFormat="1" applyFont="1" applyFill="1" applyBorder="1" applyAlignment="1">
      <alignment horizontal="center" vertical="top" wrapText="1"/>
    </xf>
    <xf numFmtId="164" fontId="7" fillId="3" borderId="95" xfId="0" applyNumberFormat="1" applyFont="1" applyFill="1" applyBorder="1" applyAlignment="1">
      <alignment horizontal="center" vertical="top" wrapText="1"/>
    </xf>
    <xf numFmtId="1" fontId="7" fillId="0" borderId="2" xfId="8" applyNumberFormat="1" applyFont="1" applyFill="1" applyBorder="1" applyAlignment="1">
      <alignment horizontal="center" vertical="top" wrapText="1"/>
    </xf>
    <xf numFmtId="1" fontId="7" fillId="0" borderId="93" xfId="8" applyNumberFormat="1" applyFont="1" applyFill="1" applyBorder="1" applyAlignment="1">
      <alignment horizontal="center" vertical="top" wrapText="1"/>
    </xf>
    <xf numFmtId="44" fontId="7" fillId="3" borderId="87" xfId="1" applyFont="1" applyFill="1" applyBorder="1" applyAlignment="1">
      <alignment horizontal="center" vertical="top" wrapText="1"/>
    </xf>
    <xf numFmtId="44" fontId="7" fillId="3" borderId="81" xfId="1" applyFont="1" applyFill="1" applyBorder="1" applyAlignment="1">
      <alignment horizontal="center" vertical="top" wrapText="1"/>
    </xf>
    <xf numFmtId="44" fontId="7" fillId="3" borderId="89" xfId="1" applyFont="1" applyFill="1" applyBorder="1" applyAlignment="1">
      <alignment horizontal="center" vertical="top" wrapText="1"/>
    </xf>
    <xf numFmtId="44" fontId="7" fillId="3" borderId="39" xfId="1" applyFont="1" applyFill="1" applyBorder="1" applyAlignment="1">
      <alignment horizontal="center" vertical="top" wrapText="1"/>
    </xf>
    <xf numFmtId="164" fontId="7" fillId="3" borderId="26" xfId="0" applyNumberFormat="1" applyFont="1" applyFill="1" applyBorder="1" applyAlignment="1">
      <alignment horizontal="center" vertical="top" wrapText="1"/>
    </xf>
    <xf numFmtId="164" fontId="7" fillId="3" borderId="96" xfId="0" applyNumberFormat="1" applyFont="1" applyFill="1" applyBorder="1" applyAlignment="1">
      <alignment horizontal="center" vertical="top" wrapText="1"/>
    </xf>
    <xf numFmtId="164" fontId="7" fillId="3" borderId="2" xfId="0" applyNumberFormat="1" applyFont="1" applyFill="1" applyBorder="1" applyAlignment="1">
      <alignment horizontal="center" vertical="top"/>
    </xf>
    <xf numFmtId="164" fontId="7" fillId="3" borderId="93" xfId="0" applyNumberFormat="1" applyFont="1" applyFill="1" applyBorder="1" applyAlignment="1">
      <alignment horizontal="center" vertical="top"/>
    </xf>
    <xf numFmtId="1" fontId="7" fillId="5" borderId="2" xfId="0" applyNumberFormat="1" applyFont="1" applyFill="1" applyBorder="1" applyAlignment="1">
      <alignment horizontal="center" vertical="top" wrapText="1"/>
    </xf>
    <xf numFmtId="1" fontId="7" fillId="5" borderId="93" xfId="0" applyNumberFormat="1" applyFont="1" applyFill="1" applyBorder="1" applyAlignment="1">
      <alignment horizontal="center" vertical="top" wrapText="1"/>
    </xf>
    <xf numFmtId="1" fontId="7" fillId="0" borderId="92" xfId="0" applyNumberFormat="1" applyFont="1" applyBorder="1" applyAlignment="1">
      <alignment horizontal="center" vertical="top" wrapText="1"/>
    </xf>
    <xf numFmtId="1" fontId="7" fillId="0" borderId="38" xfId="0" applyNumberFormat="1" applyFont="1" applyBorder="1" applyAlignment="1">
      <alignment horizontal="center" vertical="top" wrapText="1"/>
    </xf>
    <xf numFmtId="1" fontId="7" fillId="0" borderId="89" xfId="0" applyNumberFormat="1" applyFont="1" applyFill="1" applyBorder="1" applyAlignment="1">
      <alignment horizontal="center" vertical="top" wrapText="1"/>
    </xf>
    <xf numFmtId="1" fontId="7" fillId="0" borderId="39" xfId="0" applyNumberFormat="1" applyFont="1" applyFill="1" applyBorder="1" applyAlignment="1">
      <alignment horizontal="center" vertical="top" wrapText="1"/>
    </xf>
    <xf numFmtId="1" fontId="7" fillId="0" borderId="90" xfId="0" applyNumberFormat="1" applyFont="1" applyFill="1" applyBorder="1" applyAlignment="1">
      <alignment horizontal="center" vertical="top" wrapText="1"/>
    </xf>
    <xf numFmtId="1" fontId="7" fillId="0" borderId="91" xfId="0" applyNumberFormat="1" applyFont="1" applyFill="1" applyBorder="1" applyAlignment="1">
      <alignment horizontal="center" vertical="top" wrapText="1"/>
    </xf>
    <xf numFmtId="1" fontId="7" fillId="0" borderId="2" xfId="0" applyNumberFormat="1" applyFont="1" applyBorder="1" applyAlignment="1">
      <alignment horizontal="center" vertical="top" wrapText="1"/>
    </xf>
    <xf numFmtId="1" fontId="7" fillId="0" borderId="93" xfId="0" applyNumberFormat="1" applyFont="1" applyBorder="1" applyAlignment="1">
      <alignment horizontal="center" vertical="top" wrapText="1"/>
    </xf>
    <xf numFmtId="1" fontId="7" fillId="0" borderId="2" xfId="0" applyNumberFormat="1" applyFont="1" applyFill="1" applyBorder="1" applyAlignment="1">
      <alignment horizontal="center" vertical="top" wrapText="1"/>
    </xf>
    <xf numFmtId="1" fontId="7" fillId="0" borderId="93" xfId="0" applyNumberFormat="1" applyFont="1" applyFill="1" applyBorder="1" applyAlignment="1">
      <alignment horizontal="center" vertical="top" wrapText="1"/>
    </xf>
    <xf numFmtId="1" fontId="7" fillId="0" borderId="75" xfId="0" applyNumberFormat="1" applyFont="1" applyFill="1" applyBorder="1" applyAlignment="1">
      <alignment horizontal="center" vertical="top" wrapText="1"/>
    </xf>
    <xf numFmtId="1" fontId="7" fillId="0" borderId="94" xfId="0" applyNumberFormat="1" applyFont="1" applyFill="1" applyBorder="1" applyAlignment="1">
      <alignment horizontal="center" vertical="top" wrapText="1"/>
    </xf>
    <xf numFmtId="1" fontId="7" fillId="5" borderId="31" xfId="8" applyNumberFormat="1" applyFont="1" applyFill="1" applyBorder="1" applyAlignment="1">
      <alignment horizontal="center" vertical="top" wrapText="1"/>
    </xf>
    <xf numFmtId="1" fontId="7" fillId="5" borderId="95" xfId="8" applyNumberFormat="1" applyFont="1" applyFill="1" applyBorder="1" applyAlignment="1">
      <alignment horizontal="center" vertical="top" wrapText="1"/>
    </xf>
    <xf numFmtId="44" fontId="7" fillId="3" borderId="92" xfId="1" applyFont="1" applyFill="1" applyBorder="1" applyAlignment="1">
      <alignment horizontal="center" vertical="top" wrapText="1"/>
    </xf>
    <xf numFmtId="44" fontId="7" fillId="3" borderId="38" xfId="1" applyFont="1" applyFill="1" applyBorder="1" applyAlignment="1">
      <alignment horizontal="center" vertical="top" wrapText="1"/>
    </xf>
    <xf numFmtId="1" fontId="7" fillId="5" borderId="89" xfId="0" applyNumberFormat="1" applyFont="1" applyFill="1" applyBorder="1" applyAlignment="1">
      <alignment horizontal="center" vertical="top" wrapText="1"/>
    </xf>
    <xf numFmtId="1" fontId="7" fillId="5" borderId="39" xfId="0" applyNumberFormat="1" applyFont="1" applyFill="1" applyBorder="1" applyAlignment="1">
      <alignment horizontal="center" vertical="top" wrapText="1"/>
    </xf>
    <xf numFmtId="1" fontId="7" fillId="0" borderId="89" xfId="0" applyNumberFormat="1" applyFont="1" applyBorder="1" applyAlignment="1">
      <alignment horizontal="center" vertical="top" wrapText="1"/>
    </xf>
    <xf numFmtId="1" fontId="7" fillId="0" borderId="39" xfId="0" applyNumberFormat="1" applyFont="1" applyBorder="1" applyAlignment="1">
      <alignment horizontal="center" vertical="top" wrapText="1"/>
    </xf>
    <xf numFmtId="0" fontId="6" fillId="2" borderId="87" xfId="0" applyFont="1" applyFill="1" applyBorder="1" applyAlignment="1">
      <alignment horizontal="center" vertical="center" wrapText="1" readingOrder="1"/>
    </xf>
    <xf numFmtId="0" fontId="6" fillId="2" borderId="88" xfId="0" applyFont="1" applyFill="1" applyBorder="1" applyAlignment="1">
      <alignment horizontal="center" vertical="center" wrapText="1" readingOrder="1"/>
    </xf>
    <xf numFmtId="1" fontId="7" fillId="0" borderId="5" xfId="0" applyNumberFormat="1" applyFont="1" applyFill="1" applyBorder="1" applyAlignment="1">
      <alignment horizontal="center" vertical="top" wrapText="1"/>
    </xf>
    <xf numFmtId="0" fontId="0" fillId="0" borderId="1" xfId="0" applyFill="1" applyBorder="1" applyAlignment="1">
      <alignment horizontal="center" vertical="top" wrapText="1"/>
    </xf>
    <xf numFmtId="0" fontId="0" fillId="0" borderId="81" xfId="0" applyBorder="1" applyAlignment="1">
      <alignment horizontal="center" vertical="center" wrapText="1" readingOrder="1"/>
    </xf>
    <xf numFmtId="0" fontId="6" fillId="2" borderId="26" xfId="0" applyFont="1" applyFill="1" applyBorder="1" applyAlignment="1">
      <alignment horizontal="center" vertical="center" wrapText="1" readingOrder="1"/>
    </xf>
    <xf numFmtId="0" fontId="0" fillId="0" borderId="88" xfId="0" applyBorder="1" applyAlignment="1">
      <alignment horizontal="center" vertical="center" wrapText="1" readingOrder="1"/>
    </xf>
    <xf numFmtId="0" fontId="6" fillId="2" borderId="81" xfId="0" applyFont="1" applyFill="1" applyBorder="1" applyAlignment="1">
      <alignment horizontal="center" vertical="center" wrapText="1" readingOrder="1"/>
    </xf>
    <xf numFmtId="1" fontId="7" fillId="0" borderId="1" xfId="0" applyNumberFormat="1" applyFont="1" applyFill="1" applyBorder="1" applyAlignment="1">
      <alignment horizontal="center" vertical="top" wrapText="1"/>
    </xf>
    <xf numFmtId="1" fontId="7" fillId="0" borderId="34" xfId="0" applyNumberFormat="1" applyFont="1" applyBorder="1" applyAlignment="1">
      <alignment horizontal="center" vertical="top" wrapText="1"/>
    </xf>
    <xf numFmtId="0" fontId="0" fillId="0" borderId="19" xfId="0" applyBorder="1" applyAlignment="1">
      <alignment horizontal="center" vertical="top" wrapText="1"/>
    </xf>
  </cellXfs>
  <cellStyles count="11">
    <cellStyle name="Comma 2" xfId="6" xr:uid="{76AB4FB4-55A1-4C12-987B-5B43CD7FB17F}"/>
    <cellStyle name="Comma 2 2" xfId="9" xr:uid="{3BEEAB5A-2727-4040-99F0-B1917F97E618}"/>
    <cellStyle name="Currency" xfId="1" builtinId="4"/>
    <cellStyle name="Currency 2" xfId="4" xr:uid="{B1A9E10C-C8BE-46BB-90BE-E6F66E8538D9}"/>
    <cellStyle name="Normal" xfId="0" builtinId="0"/>
    <cellStyle name="Normal 2" xfId="5" xr:uid="{0EF36647-3588-4DAC-BABE-02644CBF897F}"/>
    <cellStyle name="Normal 2 2" xfId="8" xr:uid="{D07BDAB9-EB96-4DAA-92A0-799CA35597ED}"/>
    <cellStyle name="Normal 3" xfId="3" xr:uid="{20E0F7ED-E04B-4DD2-B74E-732C00C65756}"/>
    <cellStyle name="Normal 4" xfId="7" xr:uid="{DC06D652-52DF-4E92-AB94-6D64AEB2556F}"/>
    <cellStyle name="Normal 4 2" xfId="10" xr:uid="{4007817E-D0F5-43EB-8733-E5CFB0C3CBA1}"/>
    <cellStyle name="Percent" xfId="2" builtinId="5"/>
  </cellStyles>
  <dxfs count="9">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2CBD35-EEC2-420E-B792-28F72DA7440C}" name="InterconnectionCostOverrun" displayName="InterconnectionCostOverrun" ref="A4:D10" totalsRowShown="0" headerRowDxfId="8" dataDxfId="6" headerRowBorderDxfId="7" tableBorderDxfId="5" totalsRowBorderDxfId="4">
  <autoFilter ref="A4:D10" xr:uid="{AF2CBD35-EEC2-420E-B792-28F72DA7440C}"/>
  <tableColumns count="4">
    <tableColumn id="1" xr3:uid="{DBB06643-A984-4EF7-B21B-E29E541B6598}" name="Year" dataDxfId="3"/>
    <tableColumn id="2" xr3:uid="{6FCEFEC8-7CBD-4B00-9A38-C49350C80BBE}" name="# of PPAs Completed" dataDxfId="2"/>
    <tableColumn id="3" xr3:uid="{2CAA0356-A535-46D4-9AEB-D9D22D08B2D0}" name="“# of PPAs’ _x000a_Company-Owned Interconnection Facilities Actual Costs Over Estimate" dataDxfId="1"/>
    <tableColumn id="4" xr3:uid="{703AB628-3726-4ACB-85A0-E9B36CDDEC96}" name="% of Times Over Estimate" dataDxfId="0"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DC397-0D29-4E3F-8DFB-8BCD0CEA50CB}">
  <dimension ref="A1:H38"/>
  <sheetViews>
    <sheetView zoomScaleNormal="100" workbookViewId="0">
      <selection sqref="A1:H1"/>
    </sheetView>
  </sheetViews>
  <sheetFormatPr defaultRowHeight="12.75"/>
  <cols>
    <col min="2" max="2" width="10.5703125" bestFit="1" customWidth="1"/>
    <col min="3" max="3" width="20.140625" customWidth="1"/>
    <col min="4" max="4" width="8.7109375" customWidth="1"/>
    <col min="5" max="5" width="24.42578125" customWidth="1"/>
    <col min="6" max="6" width="9.5703125" customWidth="1"/>
    <col min="7" max="7" width="21.140625" bestFit="1" customWidth="1"/>
    <col min="8" max="8" width="20.42578125" bestFit="1" customWidth="1"/>
  </cols>
  <sheetData>
    <row r="1" spans="1:8" ht="74.25" customHeight="1">
      <c r="A1" s="346" t="s">
        <v>147</v>
      </c>
      <c r="B1" s="346"/>
      <c r="C1" s="346"/>
      <c r="D1" s="346"/>
      <c r="E1" s="346"/>
      <c r="F1" s="346"/>
      <c r="G1" s="346"/>
      <c r="H1" s="346"/>
    </row>
    <row r="3" spans="1:8">
      <c r="A3" s="152" t="s">
        <v>143</v>
      </c>
    </row>
    <row r="4" spans="1:8" ht="13.5" thickBot="1"/>
    <row r="5" spans="1:8" ht="57" customHeight="1" thickBot="1">
      <c r="A5" s="175"/>
      <c r="B5" s="195" t="s">
        <v>137</v>
      </c>
      <c r="C5" s="197" t="s">
        <v>150</v>
      </c>
      <c r="D5" s="196" t="s">
        <v>140</v>
      </c>
      <c r="E5" s="197" t="s">
        <v>151</v>
      </c>
      <c r="F5" s="196" t="s">
        <v>140</v>
      </c>
    </row>
    <row r="6" spans="1:8" ht="12.95" customHeight="1">
      <c r="A6" s="348" t="s">
        <v>27</v>
      </c>
      <c r="B6" s="178" t="s">
        <v>49</v>
      </c>
      <c r="C6" s="167">
        <f>'#10d Interconnection Costs'!P12</f>
        <v>181528.63999999998</v>
      </c>
      <c r="D6" s="159">
        <v>1</v>
      </c>
      <c r="E6" s="167">
        <f>'#10d Interconnection Costs'!S12</f>
        <v>3345777.7</v>
      </c>
      <c r="F6" s="159">
        <v>1</v>
      </c>
    </row>
    <row r="7" spans="1:8" ht="12.95" customHeight="1">
      <c r="A7" s="349"/>
      <c r="B7" s="179" t="s">
        <v>31</v>
      </c>
      <c r="C7" s="168">
        <f>(SUM('#10d Interconnection Costs'!P7:P8)+SUM('#10d Interconnection Costs'!P13:P14)+'#10d Interconnection Costs'!P11+'#10d Interconnection Costs'!P17)/6</f>
        <v>219769.59538333336</v>
      </c>
      <c r="D7" s="160">
        <v>6</v>
      </c>
      <c r="E7" s="168">
        <f>(SUM('#10d Interconnection Costs'!S7:S8)+SUM('#10d Interconnection Costs'!S13:S14)+'#10d Interconnection Costs'!S11)/5</f>
        <v>3400356.554</v>
      </c>
      <c r="F7" s="160">
        <v>5</v>
      </c>
    </row>
    <row r="8" spans="1:8" ht="12.95" customHeight="1" thickBot="1">
      <c r="A8" s="350"/>
      <c r="B8" s="180" t="s">
        <v>32</v>
      </c>
      <c r="C8" s="169">
        <f>(SUM('#10d Interconnection Costs'!P9:P10)+SUM('#10d Interconnection Costs'!P19:P20))/4</f>
        <v>146958.34411099998</v>
      </c>
      <c r="D8" s="161">
        <v>4</v>
      </c>
      <c r="E8" s="169">
        <f>SUM('#10d Interconnection Costs'!S9:S10)/2</f>
        <v>12067618.17</v>
      </c>
      <c r="F8" s="161">
        <v>2</v>
      </c>
    </row>
    <row r="9" spans="1:8" ht="12.95" customHeight="1">
      <c r="A9" s="348" t="s">
        <v>25</v>
      </c>
      <c r="B9" s="181" t="s">
        <v>49</v>
      </c>
      <c r="C9" s="167">
        <f>SUM('#10d Interconnection Costs'!P24:P27)/4</f>
        <v>37500</v>
      </c>
      <c r="D9" s="159">
        <v>4</v>
      </c>
      <c r="E9" s="167">
        <f>SUM('#10d Interconnection Costs'!S24:S26)/3</f>
        <v>281201.34000000003</v>
      </c>
      <c r="F9" s="159">
        <v>3</v>
      </c>
    </row>
    <row r="10" spans="1:8" ht="12.95" customHeight="1" thickBot="1">
      <c r="A10" s="351"/>
      <c r="B10" s="182" t="s">
        <v>51</v>
      </c>
      <c r="C10" s="268">
        <f>('#10d Interconnection Costs'!P28+'#10d Interconnection Costs'!P30)/2</f>
        <v>111749.22500000001</v>
      </c>
      <c r="D10" s="267">
        <v>2</v>
      </c>
      <c r="E10" s="171"/>
      <c r="F10" s="157"/>
    </row>
    <row r="11" spans="1:8" ht="12.95" customHeight="1">
      <c r="A11" s="348" t="s">
        <v>136</v>
      </c>
      <c r="B11" s="181" t="s">
        <v>49</v>
      </c>
      <c r="C11" s="170"/>
      <c r="D11" s="154"/>
      <c r="E11" s="170"/>
      <c r="F11" s="154"/>
    </row>
    <row r="12" spans="1:8" ht="12.95" customHeight="1" thickBot="1">
      <c r="A12" s="351"/>
      <c r="B12" s="182" t="s">
        <v>51</v>
      </c>
      <c r="C12" s="269">
        <f>'#10d Interconnection Costs'!P33</f>
        <v>236795.06</v>
      </c>
      <c r="D12" s="270">
        <v>1</v>
      </c>
      <c r="E12" s="174"/>
      <c r="F12" s="155"/>
    </row>
    <row r="13" spans="1:8" ht="13.5" thickBot="1">
      <c r="A13" s="176" t="s">
        <v>138</v>
      </c>
      <c r="B13" s="183" t="s">
        <v>49</v>
      </c>
      <c r="C13" s="172"/>
      <c r="D13" s="156"/>
      <c r="E13" s="172"/>
      <c r="F13" s="156"/>
    </row>
    <row r="14" spans="1:8" ht="13.5" thickBot="1">
      <c r="A14" s="177" t="s">
        <v>139</v>
      </c>
      <c r="B14" s="184" t="s">
        <v>49</v>
      </c>
      <c r="C14" s="173"/>
      <c r="D14" s="153"/>
      <c r="E14" s="173"/>
      <c r="F14" s="153"/>
    </row>
    <row r="16" spans="1:8">
      <c r="A16" s="152" t="s">
        <v>63</v>
      </c>
    </row>
    <row r="17" spans="1:8" ht="26.25" customHeight="1">
      <c r="A17" s="346" t="s">
        <v>142</v>
      </c>
      <c r="B17" s="346"/>
      <c r="C17" s="346"/>
      <c r="D17" s="346"/>
      <c r="E17" s="346"/>
      <c r="F17" s="346"/>
      <c r="G17" s="346"/>
      <c r="H17" s="346"/>
    </row>
    <row r="18" spans="1:8" ht="63" customHeight="1">
      <c r="A18" s="347" t="s">
        <v>152</v>
      </c>
      <c r="B18" s="347"/>
      <c r="C18" s="347"/>
      <c r="D18" s="347"/>
      <c r="E18" s="347"/>
      <c r="F18" s="347"/>
      <c r="G18" s="347"/>
      <c r="H18" s="347"/>
    </row>
    <row r="19" spans="1:8">
      <c r="A19" s="33" t="s">
        <v>146</v>
      </c>
    </row>
    <row r="20" spans="1:8">
      <c r="A20" s="33"/>
    </row>
    <row r="22" spans="1:8">
      <c r="A22" s="151" t="s">
        <v>144</v>
      </c>
    </row>
    <row r="23" spans="1:8" ht="13.5" thickBot="1"/>
    <row r="24" spans="1:8" ht="64.5" thickBot="1">
      <c r="A24" s="166"/>
      <c r="B24" s="195" t="s">
        <v>137</v>
      </c>
      <c r="C24" s="197" t="s">
        <v>149</v>
      </c>
      <c r="D24" s="196" t="s">
        <v>140</v>
      </c>
      <c r="E24" s="197" t="s">
        <v>153</v>
      </c>
      <c r="F24" s="196" t="s">
        <v>140</v>
      </c>
    </row>
    <row r="25" spans="1:8" ht="12.95" customHeight="1">
      <c r="A25" s="352" t="s">
        <v>27</v>
      </c>
      <c r="B25" s="178" t="s">
        <v>49</v>
      </c>
      <c r="C25" s="187"/>
      <c r="D25" s="158"/>
      <c r="E25" s="190"/>
      <c r="F25" s="158"/>
    </row>
    <row r="26" spans="1:8" ht="12.95" customHeight="1">
      <c r="A26" s="353"/>
      <c r="B26" s="179" t="s">
        <v>31</v>
      </c>
      <c r="C26" s="188">
        <f>(SUM('#10d Interconnection Time'!K17:K18)+SUM('#10d Interconnection Time'!K21:K22))/4</f>
        <v>6</v>
      </c>
      <c r="D26" s="160">
        <v>4</v>
      </c>
      <c r="E26" s="188">
        <f>(SUM('#10d Interconnection Time'!M21:M22)+SUM('#10d Interconnection Time'!O21:O22)+SUM('#10d Interconnection Time'!P21:P22))/2</f>
        <v>4.5</v>
      </c>
      <c r="F26" s="160">
        <v>2</v>
      </c>
    </row>
    <row r="27" spans="1:8" ht="12.95" customHeight="1" thickBot="1">
      <c r="A27" s="354"/>
      <c r="B27" s="185" t="s">
        <v>32</v>
      </c>
      <c r="C27" s="189">
        <f>(SUM('#10d Interconnection Time'!K15:K16)+SUM('#10d Interconnection Time'!K19:K20)+'#10d Interconnection Time'!K23)/5</f>
        <v>5</v>
      </c>
      <c r="D27" s="162">
        <v>5</v>
      </c>
      <c r="E27" s="191">
        <f>('#10d Interconnection Time'!M20+'#10d Interconnection Time'!M23+'#10d Interconnection Time'!O20+'#10d Interconnection Time'!O23+'#10d Interconnection Time'!P20+'#10d Interconnection Time'!P23)/2</f>
        <v>5.5</v>
      </c>
      <c r="F27" s="162">
        <v>2</v>
      </c>
    </row>
    <row r="28" spans="1:8" ht="12.95" customHeight="1">
      <c r="A28" s="352" t="s">
        <v>25</v>
      </c>
      <c r="B28" s="181" t="s">
        <v>49</v>
      </c>
      <c r="C28" s="190"/>
      <c r="D28" s="165"/>
      <c r="E28" s="190"/>
      <c r="F28" s="165"/>
    </row>
    <row r="29" spans="1:8" ht="12.95" customHeight="1" thickBot="1">
      <c r="A29" s="354"/>
      <c r="B29" s="182" t="s">
        <v>51</v>
      </c>
      <c r="C29" s="191">
        <f>SUM('#10d Interconnection Time'!K28:K32)/5</f>
        <v>4.5999999999999996</v>
      </c>
      <c r="D29" s="164">
        <v>5</v>
      </c>
      <c r="E29" s="191">
        <f>'#10d Interconnection Time'!M31+'#10d Interconnection Time'!O31+'#10d Interconnection Time'!P31</f>
        <v>5</v>
      </c>
      <c r="F29" s="164">
        <v>1</v>
      </c>
    </row>
    <row r="30" spans="1:8" ht="12.95" customHeight="1">
      <c r="A30" s="352" t="s">
        <v>136</v>
      </c>
      <c r="B30" s="181" t="s">
        <v>49</v>
      </c>
      <c r="C30" s="190"/>
      <c r="D30" s="163"/>
      <c r="E30" s="190"/>
      <c r="F30" s="163"/>
    </row>
    <row r="31" spans="1:8" ht="12.95" customHeight="1" thickBot="1">
      <c r="A31" s="354"/>
      <c r="B31" s="182" t="s">
        <v>51</v>
      </c>
      <c r="C31" s="191">
        <f>SUM('#10d Interconnection Time'!K33:K34)/2</f>
        <v>4</v>
      </c>
      <c r="D31" s="164">
        <v>2</v>
      </c>
      <c r="E31" s="194"/>
      <c r="F31" s="186"/>
    </row>
    <row r="32" spans="1:8" ht="13.5" thickBot="1">
      <c r="A32" s="176" t="s">
        <v>138</v>
      </c>
      <c r="B32" s="183" t="s">
        <v>49</v>
      </c>
      <c r="C32" s="192"/>
      <c r="D32" s="156"/>
      <c r="E32" s="192"/>
      <c r="F32" s="156"/>
    </row>
    <row r="33" spans="1:8" ht="13.5" thickBot="1">
      <c r="A33" s="177" t="s">
        <v>139</v>
      </c>
      <c r="B33" s="184" t="s">
        <v>49</v>
      </c>
      <c r="C33" s="193"/>
      <c r="D33" s="153"/>
      <c r="E33" s="193"/>
      <c r="F33" s="153"/>
    </row>
    <row r="34" spans="1:8">
      <c r="F34" s="150"/>
    </row>
    <row r="35" spans="1:8">
      <c r="A35" s="152" t="s">
        <v>63</v>
      </c>
    </row>
    <row r="36" spans="1:8" ht="56.25" customHeight="1">
      <c r="A36" s="345" t="s">
        <v>148</v>
      </c>
      <c r="B36" s="345"/>
      <c r="C36" s="345"/>
      <c r="D36" s="345"/>
      <c r="E36" s="345"/>
      <c r="F36" s="345"/>
      <c r="G36" s="345"/>
      <c r="H36" s="345"/>
    </row>
    <row r="37" spans="1:8" ht="25.5" customHeight="1">
      <c r="A37" s="346" t="s">
        <v>141</v>
      </c>
      <c r="B37" s="346"/>
      <c r="C37" s="346"/>
      <c r="D37" s="346"/>
      <c r="E37" s="346"/>
      <c r="F37" s="346"/>
      <c r="G37" s="346"/>
      <c r="H37" s="346"/>
    </row>
    <row r="38" spans="1:8">
      <c r="A38" s="33" t="s">
        <v>145</v>
      </c>
    </row>
  </sheetData>
  <mergeCells count="11">
    <mergeCell ref="A36:H36"/>
    <mergeCell ref="A1:H1"/>
    <mergeCell ref="A17:H17"/>
    <mergeCell ref="A18:H18"/>
    <mergeCell ref="A37:H37"/>
    <mergeCell ref="A6:A8"/>
    <mergeCell ref="A11:A12"/>
    <mergeCell ref="A9:A10"/>
    <mergeCell ref="A25:A27"/>
    <mergeCell ref="A30:A31"/>
    <mergeCell ref="A28:A29"/>
  </mergeCells>
  <pageMargins left="0.7" right="0.7" top="0.75" bottom="0.75" header="0.3" footer="0.3"/>
  <pageSetup orientation="portrait" r:id="rId1"/>
  <ignoredErrors>
    <ignoredError sqref="E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58353-70DD-4B34-BB85-5DEDCFBDB850}">
  <sheetPr>
    <pageSetUpPr fitToPage="1"/>
  </sheetPr>
  <dimension ref="A1:Z48"/>
  <sheetViews>
    <sheetView zoomScaleNormal="100" workbookViewId="0">
      <pane xSplit="1" ySplit="6" topLeftCell="J13" activePane="bottomRight" state="frozen"/>
      <selection pane="topRight" activeCell="B1" sqref="B1"/>
      <selection pane="bottomLeft" activeCell="A7" sqref="A7"/>
      <selection pane="bottomRight" sqref="A1:P2"/>
    </sheetView>
  </sheetViews>
  <sheetFormatPr defaultColWidth="6.85546875" defaultRowHeight="12.75" customHeight="1"/>
  <cols>
    <col min="1" max="1" width="30.28515625" customWidth="1"/>
    <col min="2" max="2" width="8.28515625" style="3" customWidth="1"/>
    <col min="3" max="3" width="11.42578125" customWidth="1"/>
    <col min="4" max="4" width="16.5703125" customWidth="1"/>
    <col min="5" max="5" width="13.42578125" customWidth="1"/>
    <col min="6" max="6" width="11.28515625" customWidth="1"/>
    <col min="7" max="7" width="11" style="3" customWidth="1"/>
    <col min="8" max="8" width="8.85546875" bestFit="1" customWidth="1"/>
    <col min="9" max="12" width="14.7109375" style="13" customWidth="1"/>
    <col min="13" max="13" width="14.7109375" customWidth="1"/>
    <col min="14" max="14" width="14.7109375" style="16" customWidth="1"/>
    <col min="15" max="16" width="14.7109375" customWidth="1"/>
    <col min="17" max="17" width="19.42578125" bestFit="1" customWidth="1"/>
    <col min="18" max="18" width="19.7109375" customWidth="1"/>
    <col min="19" max="19" width="19.7109375" style="13" customWidth="1"/>
    <col min="20" max="20" width="19.7109375" style="11" customWidth="1"/>
    <col min="22" max="22" width="14.42578125" customWidth="1"/>
    <col min="23" max="23" width="11.28515625" bestFit="1" customWidth="1"/>
    <col min="24" max="24" width="12.28515625" bestFit="1" customWidth="1"/>
    <col min="26" max="26" width="13.42578125" bestFit="1" customWidth="1"/>
  </cols>
  <sheetData>
    <row r="1" spans="1:26" ht="19.5" customHeight="1">
      <c r="A1" s="369" t="s">
        <v>109</v>
      </c>
      <c r="B1" s="369"/>
      <c r="C1" s="369"/>
      <c r="D1" s="369"/>
      <c r="E1" s="369"/>
      <c r="F1" s="369"/>
      <c r="G1" s="369"/>
      <c r="H1" s="369"/>
      <c r="I1" s="369"/>
      <c r="J1" s="369"/>
      <c r="K1" s="369"/>
      <c r="L1" s="369"/>
      <c r="M1" s="369"/>
      <c r="N1" s="369"/>
      <c r="O1" s="369"/>
      <c r="P1" s="369"/>
      <c r="Q1" s="73"/>
    </row>
    <row r="2" spans="1:26" ht="18">
      <c r="A2" s="369"/>
      <c r="B2" s="369"/>
      <c r="C2" s="369"/>
      <c r="D2" s="369"/>
      <c r="E2" s="369"/>
      <c r="F2" s="369"/>
      <c r="G2" s="369"/>
      <c r="H2" s="369"/>
      <c r="I2" s="369"/>
      <c r="J2" s="369"/>
      <c r="K2" s="369"/>
      <c r="L2" s="369"/>
      <c r="M2" s="369"/>
      <c r="N2" s="369"/>
      <c r="O2" s="369"/>
      <c r="P2" s="369"/>
      <c r="Q2" s="73"/>
    </row>
    <row r="3" spans="1:26" ht="20.25" customHeight="1"/>
    <row r="4" spans="1:26" ht="20.25" customHeight="1" thickBot="1">
      <c r="A4" s="57"/>
      <c r="B4" s="57"/>
      <c r="C4" s="57"/>
      <c r="D4" s="57"/>
      <c r="E4" s="57"/>
    </row>
    <row r="5" spans="1:26" ht="36" customHeight="1" thickTop="1" thickBot="1">
      <c r="A5" s="1"/>
      <c r="B5" s="1"/>
      <c r="C5" s="1"/>
      <c r="I5" s="355" t="s">
        <v>90</v>
      </c>
      <c r="J5" s="370"/>
      <c r="K5" s="370"/>
      <c r="L5" s="370"/>
      <c r="M5" s="371"/>
      <c r="N5" s="355" t="s">
        <v>91</v>
      </c>
      <c r="O5" s="370"/>
      <c r="P5" s="372"/>
      <c r="Q5" s="355" t="s">
        <v>74</v>
      </c>
      <c r="R5" s="356"/>
      <c r="S5" s="356"/>
      <c r="T5" s="357"/>
    </row>
    <row r="6" spans="1:26" ht="66" customHeight="1" thickTop="1" thickBot="1">
      <c r="A6" s="10" t="s">
        <v>24</v>
      </c>
      <c r="B6" s="10" t="s">
        <v>23</v>
      </c>
      <c r="C6" s="10" t="s">
        <v>94</v>
      </c>
      <c r="D6" s="10" t="s">
        <v>125</v>
      </c>
      <c r="E6" s="10" t="s">
        <v>92</v>
      </c>
      <c r="F6" s="10" t="s">
        <v>36</v>
      </c>
      <c r="G6" s="10" t="s">
        <v>93</v>
      </c>
      <c r="H6" s="135" t="s">
        <v>70</v>
      </c>
      <c r="I6" s="30" t="s">
        <v>103</v>
      </c>
      <c r="J6" s="88" t="s">
        <v>66</v>
      </c>
      <c r="K6" s="89" t="s">
        <v>69</v>
      </c>
      <c r="L6" s="89" t="s">
        <v>73</v>
      </c>
      <c r="M6" s="141" t="s">
        <v>96</v>
      </c>
      <c r="N6" s="30" t="s">
        <v>68</v>
      </c>
      <c r="O6" s="31" t="s">
        <v>67</v>
      </c>
      <c r="P6" s="129" t="s">
        <v>97</v>
      </c>
      <c r="Q6" s="139" t="s">
        <v>75</v>
      </c>
      <c r="R6" s="31" t="s">
        <v>88</v>
      </c>
      <c r="S6" s="31" t="s">
        <v>52</v>
      </c>
      <c r="T6" s="90" t="s">
        <v>98</v>
      </c>
    </row>
    <row r="7" spans="1:26" s="2" customFormat="1" ht="13.5" customHeight="1">
      <c r="A7" s="91" t="s">
        <v>37</v>
      </c>
      <c r="B7" s="63" t="s">
        <v>27</v>
      </c>
      <c r="C7" s="63" t="s">
        <v>1</v>
      </c>
      <c r="D7" s="63" t="s">
        <v>114</v>
      </c>
      <c r="E7" s="80">
        <v>42749</v>
      </c>
      <c r="F7" s="92" t="s">
        <v>65</v>
      </c>
      <c r="G7" s="63" t="s">
        <v>31</v>
      </c>
      <c r="H7" s="136" t="s">
        <v>50</v>
      </c>
      <c r="I7" s="274"/>
      <c r="J7" s="275"/>
      <c r="K7" s="275"/>
      <c r="L7" s="275"/>
      <c r="M7" s="93">
        <v>127000</v>
      </c>
      <c r="N7" s="94">
        <v>108288.25</v>
      </c>
      <c r="O7" s="32">
        <v>12938.390906000001</v>
      </c>
      <c r="P7" s="41">
        <f>N7+O7</f>
        <v>121226.640906</v>
      </c>
      <c r="Q7" s="138" t="s">
        <v>54</v>
      </c>
      <c r="R7" s="32">
        <v>2185027</v>
      </c>
      <c r="S7" s="32">
        <v>1694843.47</v>
      </c>
      <c r="T7" s="44">
        <f>R7-S7</f>
        <v>490183.53</v>
      </c>
      <c r="V7" s="23"/>
      <c r="W7" s="23"/>
      <c r="X7" s="23"/>
      <c r="Y7" s="19"/>
      <c r="Z7" s="23"/>
    </row>
    <row r="8" spans="1:26" s="19" customFormat="1" ht="13.5" customHeight="1">
      <c r="A8" s="20" t="s">
        <v>38</v>
      </c>
      <c r="B8" s="21" t="s">
        <v>27</v>
      </c>
      <c r="C8" s="21" t="s">
        <v>1</v>
      </c>
      <c r="D8" s="21" t="s">
        <v>115</v>
      </c>
      <c r="E8" s="39">
        <v>42809</v>
      </c>
      <c r="F8" s="22" t="s">
        <v>2</v>
      </c>
      <c r="G8" s="21" t="s">
        <v>31</v>
      </c>
      <c r="H8" s="134" t="s">
        <v>50</v>
      </c>
      <c r="I8" s="276"/>
      <c r="J8" s="277"/>
      <c r="K8" s="277"/>
      <c r="L8" s="277"/>
      <c r="M8" s="42">
        <v>130000</v>
      </c>
      <c r="N8" s="85">
        <v>108530.18</v>
      </c>
      <c r="O8" s="27">
        <v>21694.7</v>
      </c>
      <c r="P8" s="42">
        <f t="shared" ref="P8:P14" si="0">N8+O8</f>
        <v>130224.87999999999</v>
      </c>
      <c r="Q8" s="131" t="s">
        <v>53</v>
      </c>
      <c r="R8" s="27">
        <v>2622666</v>
      </c>
      <c r="S8" s="27">
        <v>2295002.44</v>
      </c>
      <c r="T8" s="28">
        <f t="shared" ref="T8:T14" si="1">R8-S8</f>
        <v>327663.56000000006</v>
      </c>
      <c r="V8" s="23"/>
      <c r="W8" s="23"/>
      <c r="X8" s="23"/>
      <c r="Z8" s="23"/>
    </row>
    <row r="9" spans="1:26" s="19" customFormat="1" ht="13.5" customHeight="1">
      <c r="A9" s="20" t="s">
        <v>41</v>
      </c>
      <c r="B9" s="21" t="s">
        <v>27</v>
      </c>
      <c r="C9" s="21" t="s">
        <v>1</v>
      </c>
      <c r="D9" s="21" t="s">
        <v>117</v>
      </c>
      <c r="E9" s="39">
        <v>43727</v>
      </c>
      <c r="F9" s="22" t="s">
        <v>65</v>
      </c>
      <c r="G9" s="21" t="s">
        <v>32</v>
      </c>
      <c r="H9" s="134" t="s">
        <v>50</v>
      </c>
      <c r="I9" s="276"/>
      <c r="J9" s="277"/>
      <c r="K9" s="277"/>
      <c r="L9" s="277"/>
      <c r="M9" s="42">
        <v>86000</v>
      </c>
      <c r="N9" s="85">
        <v>68800.839240000001</v>
      </c>
      <c r="O9" s="27">
        <v>15618.387204000001</v>
      </c>
      <c r="P9" s="42">
        <f t="shared" si="0"/>
        <v>84419.226444</v>
      </c>
      <c r="Q9" s="131" t="s">
        <v>53</v>
      </c>
      <c r="R9" s="27">
        <v>13160941</v>
      </c>
      <c r="S9" s="27">
        <v>12505792.359999999</v>
      </c>
      <c r="T9" s="28">
        <f t="shared" si="1"/>
        <v>655148.6400000006</v>
      </c>
      <c r="V9" s="23"/>
      <c r="W9" s="23"/>
      <c r="X9" s="23"/>
      <c r="Z9" s="23"/>
    </row>
    <row r="10" spans="1:26" s="19" customFormat="1" ht="13.5" customHeight="1">
      <c r="A10" s="20" t="s">
        <v>42</v>
      </c>
      <c r="B10" s="21" t="s">
        <v>27</v>
      </c>
      <c r="C10" s="21" t="s">
        <v>1</v>
      </c>
      <c r="D10" s="21" t="s">
        <v>118</v>
      </c>
      <c r="E10" s="39">
        <v>43727</v>
      </c>
      <c r="F10" s="22" t="s">
        <v>65</v>
      </c>
      <c r="G10" s="21" t="s">
        <v>32</v>
      </c>
      <c r="H10" s="134" t="s">
        <v>50</v>
      </c>
      <c r="I10" s="276"/>
      <c r="J10" s="277"/>
      <c r="K10" s="277"/>
      <c r="L10" s="277"/>
      <c r="M10" s="42">
        <v>146000</v>
      </c>
      <c r="N10" s="85">
        <v>118168.43</v>
      </c>
      <c r="O10" s="27">
        <v>17612.87</v>
      </c>
      <c r="P10" s="42">
        <f t="shared" si="0"/>
        <v>135781.29999999999</v>
      </c>
      <c r="Q10" s="131" t="s">
        <v>53</v>
      </c>
      <c r="R10" s="27">
        <v>12789122</v>
      </c>
      <c r="S10" s="27">
        <v>11629443.98</v>
      </c>
      <c r="T10" s="28">
        <f t="shared" si="1"/>
        <v>1159678.0199999996</v>
      </c>
      <c r="V10" s="23"/>
      <c r="W10" s="23"/>
      <c r="X10" s="23"/>
      <c r="Z10" s="23"/>
    </row>
    <row r="11" spans="1:26" s="19" customFormat="1" ht="13.5" customHeight="1">
      <c r="A11" s="20" t="s">
        <v>43</v>
      </c>
      <c r="B11" s="21" t="s">
        <v>27</v>
      </c>
      <c r="C11" s="21" t="s">
        <v>1</v>
      </c>
      <c r="D11" s="21" t="s">
        <v>119</v>
      </c>
      <c r="E11" s="39">
        <v>43789</v>
      </c>
      <c r="F11" s="22" t="s">
        <v>65</v>
      </c>
      <c r="G11" s="21" t="s">
        <v>31</v>
      </c>
      <c r="H11" s="134" t="s">
        <v>50</v>
      </c>
      <c r="I11" s="276"/>
      <c r="J11" s="277"/>
      <c r="K11" s="277"/>
      <c r="L11" s="277"/>
      <c r="M11" s="42">
        <v>282000</v>
      </c>
      <c r="N11" s="85">
        <v>268388.95665399998</v>
      </c>
      <c r="O11" s="27">
        <v>27277.234740000004</v>
      </c>
      <c r="P11" s="42">
        <f t="shared" si="0"/>
        <v>295666.19139399996</v>
      </c>
      <c r="Q11" s="131" t="s">
        <v>53</v>
      </c>
      <c r="R11" s="27">
        <v>6094009</v>
      </c>
      <c r="S11" s="27">
        <v>5630968.1900000004</v>
      </c>
      <c r="T11" s="28">
        <f t="shared" si="1"/>
        <v>463040.80999999959</v>
      </c>
      <c r="V11" s="23"/>
      <c r="W11" s="23"/>
      <c r="X11" s="23"/>
      <c r="Z11" s="23"/>
    </row>
    <row r="12" spans="1:26" s="19" customFormat="1" ht="13.5" customHeight="1">
      <c r="A12" s="20" t="s">
        <v>45</v>
      </c>
      <c r="B12" s="21" t="s">
        <v>27</v>
      </c>
      <c r="C12" s="21" t="s">
        <v>1</v>
      </c>
      <c r="D12" s="21" t="s">
        <v>115</v>
      </c>
      <c r="E12" s="39">
        <v>43923</v>
      </c>
      <c r="F12" s="22" t="s">
        <v>2</v>
      </c>
      <c r="G12" s="21" t="s">
        <v>49</v>
      </c>
      <c r="H12" s="134" t="s">
        <v>50</v>
      </c>
      <c r="I12" s="276"/>
      <c r="J12" s="277"/>
      <c r="K12" s="277"/>
      <c r="L12" s="277"/>
      <c r="M12" s="42">
        <v>200000</v>
      </c>
      <c r="N12" s="85">
        <v>146030.07999999999</v>
      </c>
      <c r="O12" s="27">
        <v>35498.559999999998</v>
      </c>
      <c r="P12" s="42">
        <f t="shared" si="0"/>
        <v>181528.63999999998</v>
      </c>
      <c r="Q12" s="131" t="s">
        <v>53</v>
      </c>
      <c r="R12" s="27">
        <v>3836912</v>
      </c>
      <c r="S12" s="27">
        <v>3345777.7</v>
      </c>
      <c r="T12" s="28">
        <f t="shared" si="1"/>
        <v>491134.29999999981</v>
      </c>
      <c r="V12" s="23"/>
      <c r="W12" s="23"/>
      <c r="X12" s="23"/>
      <c r="Z12" s="23"/>
    </row>
    <row r="13" spans="1:26" s="19" customFormat="1" ht="13.5" customHeight="1">
      <c r="A13" s="20" t="s">
        <v>46</v>
      </c>
      <c r="B13" s="21" t="s">
        <v>27</v>
      </c>
      <c r="C13" s="21" t="s">
        <v>1</v>
      </c>
      <c r="D13" s="21" t="s">
        <v>121</v>
      </c>
      <c r="E13" s="39">
        <v>44117</v>
      </c>
      <c r="F13" s="22" t="s">
        <v>2</v>
      </c>
      <c r="G13" s="21" t="s">
        <v>31</v>
      </c>
      <c r="H13" s="134" t="s">
        <v>50</v>
      </c>
      <c r="I13" s="276"/>
      <c r="J13" s="277"/>
      <c r="K13" s="277"/>
      <c r="L13" s="277"/>
      <c r="M13" s="42">
        <v>205279.64</v>
      </c>
      <c r="N13" s="85">
        <v>165758.49</v>
      </c>
      <c r="O13" s="27">
        <v>37554.03</v>
      </c>
      <c r="P13" s="42">
        <f t="shared" si="0"/>
        <v>203312.52</v>
      </c>
      <c r="Q13" s="131" t="s">
        <v>53</v>
      </c>
      <c r="R13" s="27">
        <v>5484619</v>
      </c>
      <c r="S13" s="27">
        <v>3222053.21</v>
      </c>
      <c r="T13" s="28">
        <f t="shared" si="1"/>
        <v>2262565.79</v>
      </c>
      <c r="V13" s="23"/>
      <c r="W13" s="23"/>
      <c r="X13" s="23"/>
      <c r="Z13" s="23"/>
    </row>
    <row r="14" spans="1:26" s="19" customFormat="1" ht="13.5" customHeight="1">
      <c r="A14" s="20" t="s">
        <v>47</v>
      </c>
      <c r="B14" s="21" t="s">
        <v>27</v>
      </c>
      <c r="C14" s="21" t="s">
        <v>48</v>
      </c>
      <c r="D14" s="21" t="s">
        <v>122</v>
      </c>
      <c r="E14" s="39">
        <v>44176</v>
      </c>
      <c r="F14" s="22" t="s">
        <v>2</v>
      </c>
      <c r="G14" s="21" t="s">
        <v>31</v>
      </c>
      <c r="H14" s="134" t="s">
        <v>50</v>
      </c>
      <c r="I14" s="276"/>
      <c r="J14" s="277"/>
      <c r="K14" s="277"/>
      <c r="L14" s="277"/>
      <c r="M14" s="42">
        <v>409799.99</v>
      </c>
      <c r="N14" s="85">
        <v>359852.97</v>
      </c>
      <c r="O14" s="27">
        <v>44574.27</v>
      </c>
      <c r="P14" s="42">
        <f t="shared" si="0"/>
        <v>404427.24</v>
      </c>
      <c r="Q14" s="131" t="s">
        <v>54</v>
      </c>
      <c r="R14" s="27">
        <v>4990000</v>
      </c>
      <c r="S14" s="27">
        <v>4158915.46</v>
      </c>
      <c r="T14" s="28">
        <f t="shared" si="1"/>
        <v>831084.54</v>
      </c>
      <c r="V14" s="23"/>
      <c r="W14" s="23"/>
      <c r="X14" s="23"/>
      <c r="Z14" s="23"/>
    </row>
    <row r="15" spans="1:26" s="19" customFormat="1">
      <c r="A15" s="20" t="s">
        <v>7</v>
      </c>
      <c r="B15" s="21" t="s">
        <v>27</v>
      </c>
      <c r="C15" s="21" t="s">
        <v>28</v>
      </c>
      <c r="D15" s="21" t="s">
        <v>59</v>
      </c>
      <c r="E15" s="21"/>
      <c r="F15" s="22" t="s">
        <v>29</v>
      </c>
      <c r="G15" s="21" t="s">
        <v>32</v>
      </c>
      <c r="H15" s="134" t="s">
        <v>50</v>
      </c>
      <c r="I15" s="85">
        <v>83000</v>
      </c>
      <c r="J15" s="27">
        <v>60000</v>
      </c>
      <c r="K15" s="27">
        <v>48880</v>
      </c>
      <c r="L15" s="29"/>
      <c r="M15" s="42">
        <f>SUM(I15:L15)</f>
        <v>191880</v>
      </c>
      <c r="N15" s="222" t="s">
        <v>158</v>
      </c>
      <c r="O15" s="86">
        <v>58246.52</v>
      </c>
      <c r="P15" s="223" t="s">
        <v>158</v>
      </c>
      <c r="Q15" s="131" t="s">
        <v>54</v>
      </c>
      <c r="R15" s="245">
        <v>4983676</v>
      </c>
      <c r="S15" s="244" t="s">
        <v>158</v>
      </c>
      <c r="T15" s="26"/>
    </row>
    <row r="16" spans="1:26" s="19" customFormat="1" ht="13.5" customHeight="1">
      <c r="A16" s="20" t="s">
        <v>13</v>
      </c>
      <c r="B16" s="21" t="s">
        <v>27</v>
      </c>
      <c r="C16" s="21" t="s">
        <v>28</v>
      </c>
      <c r="D16" s="21" t="s">
        <v>60</v>
      </c>
      <c r="E16" s="288">
        <v>44773</v>
      </c>
      <c r="F16" s="22" t="s">
        <v>29</v>
      </c>
      <c r="G16" s="21" t="s">
        <v>32</v>
      </c>
      <c r="H16" s="134" t="s">
        <v>50</v>
      </c>
      <c r="I16" s="85">
        <v>96000</v>
      </c>
      <c r="J16" s="27">
        <v>60000</v>
      </c>
      <c r="K16" s="27">
        <v>26205</v>
      </c>
      <c r="L16" s="29"/>
      <c r="M16" s="42">
        <f>SUM(I16:L16)</f>
        <v>182205</v>
      </c>
      <c r="N16" s="222" t="s">
        <v>158</v>
      </c>
      <c r="O16" s="86">
        <v>50156.23</v>
      </c>
      <c r="P16" s="223" t="s">
        <v>158</v>
      </c>
      <c r="Q16" s="131" t="s">
        <v>53</v>
      </c>
      <c r="R16" s="245">
        <v>2418880</v>
      </c>
      <c r="S16" s="244">
        <v>1235915.1499999999</v>
      </c>
      <c r="T16" s="26">
        <v>1182964.8500000001</v>
      </c>
    </row>
    <row r="17" spans="1:26" s="19" customFormat="1" ht="13.5" customHeight="1">
      <c r="A17" s="20" t="s">
        <v>5</v>
      </c>
      <c r="B17" s="21" t="s">
        <v>27</v>
      </c>
      <c r="C17" s="21" t="s">
        <v>28</v>
      </c>
      <c r="D17" s="21" t="s">
        <v>58</v>
      </c>
      <c r="E17" s="21"/>
      <c r="F17" s="22" t="s">
        <v>29</v>
      </c>
      <c r="G17" s="21" t="s">
        <v>31</v>
      </c>
      <c r="H17" s="134" t="s">
        <v>50</v>
      </c>
      <c r="I17" s="85">
        <v>90000</v>
      </c>
      <c r="J17" s="27">
        <v>60000</v>
      </c>
      <c r="K17" s="27">
        <v>7553</v>
      </c>
      <c r="L17" s="29"/>
      <c r="M17" s="42">
        <f t="shared" ref="M17:M23" si="2">SUM(I17:L17)</f>
        <v>157553</v>
      </c>
      <c r="N17" s="281">
        <v>103589.37</v>
      </c>
      <c r="O17" s="86">
        <v>60170.73</v>
      </c>
      <c r="P17" s="42">
        <f>SUM(N17:O17)</f>
        <v>163760.1</v>
      </c>
      <c r="Q17" s="131" t="s">
        <v>54</v>
      </c>
      <c r="R17" s="245">
        <v>2212004</v>
      </c>
      <c r="S17" s="244" t="s">
        <v>158</v>
      </c>
      <c r="T17" s="26"/>
    </row>
    <row r="18" spans="1:26" s="2" customFormat="1" ht="15" customHeight="1">
      <c r="A18" s="20" t="s">
        <v>21</v>
      </c>
      <c r="B18" s="21" t="s">
        <v>27</v>
      </c>
      <c r="C18" s="21" t="s">
        <v>28</v>
      </c>
      <c r="D18" s="21" t="s">
        <v>33</v>
      </c>
      <c r="E18" s="21"/>
      <c r="F18" s="22" t="s">
        <v>29</v>
      </c>
      <c r="G18" s="21" t="s">
        <v>31</v>
      </c>
      <c r="H18" s="134" t="s">
        <v>50</v>
      </c>
      <c r="I18" s="85">
        <v>90000</v>
      </c>
      <c r="J18" s="27">
        <v>60000</v>
      </c>
      <c r="K18" s="27">
        <v>40591</v>
      </c>
      <c r="L18" s="29"/>
      <c r="M18" s="42">
        <f t="shared" si="2"/>
        <v>190591</v>
      </c>
      <c r="N18" s="230" t="s">
        <v>158</v>
      </c>
      <c r="O18" s="86">
        <v>59224.95</v>
      </c>
      <c r="P18" s="282" t="s">
        <v>158</v>
      </c>
      <c r="Q18" s="131" t="s">
        <v>54</v>
      </c>
      <c r="R18" s="245">
        <v>3092285</v>
      </c>
      <c r="S18" s="258" t="s">
        <v>158</v>
      </c>
      <c r="T18" s="26"/>
      <c r="V18" s="19"/>
      <c r="W18" s="19"/>
      <c r="X18" s="19"/>
      <c r="Y18" s="19"/>
      <c r="Z18" s="19"/>
    </row>
    <row r="19" spans="1:26" s="19" customFormat="1" ht="13.5" customHeight="1">
      <c r="A19" s="20" t="s">
        <v>8</v>
      </c>
      <c r="B19" s="21" t="s">
        <v>27</v>
      </c>
      <c r="C19" s="21" t="s">
        <v>28</v>
      </c>
      <c r="D19" s="21" t="s">
        <v>9</v>
      </c>
      <c r="E19" s="21"/>
      <c r="F19" s="22" t="s">
        <v>29</v>
      </c>
      <c r="G19" s="21" t="s">
        <v>32</v>
      </c>
      <c r="H19" s="134" t="s">
        <v>50</v>
      </c>
      <c r="I19" s="85">
        <v>150000</v>
      </c>
      <c r="J19" s="27">
        <v>70000</v>
      </c>
      <c r="K19" s="283">
        <v>0</v>
      </c>
      <c r="L19" s="38"/>
      <c r="M19" s="42">
        <f t="shared" si="2"/>
        <v>220000</v>
      </c>
      <c r="N19" s="281">
        <v>118876.81</v>
      </c>
      <c r="O19" s="86">
        <v>53728.62</v>
      </c>
      <c r="P19" s="42">
        <f t="shared" ref="P19:P20" si="3">SUM(N19:O19)</f>
        <v>172605.43</v>
      </c>
      <c r="Q19" s="131" t="s">
        <v>54</v>
      </c>
      <c r="R19" s="360" t="s">
        <v>159</v>
      </c>
      <c r="S19" s="361"/>
      <c r="T19" s="362"/>
    </row>
    <row r="20" spans="1:26" s="19" customFormat="1" ht="13.5" customHeight="1">
      <c r="A20" s="20" t="s">
        <v>10</v>
      </c>
      <c r="B20" s="21" t="s">
        <v>27</v>
      </c>
      <c r="C20" s="21" t="s">
        <v>28</v>
      </c>
      <c r="D20" s="21" t="s">
        <v>11</v>
      </c>
      <c r="E20" s="21"/>
      <c r="F20" s="22" t="s">
        <v>29</v>
      </c>
      <c r="G20" s="21" t="s">
        <v>32</v>
      </c>
      <c r="H20" s="134" t="s">
        <v>50</v>
      </c>
      <c r="I20" s="251">
        <v>150000</v>
      </c>
      <c r="J20" s="252">
        <v>70000</v>
      </c>
      <c r="K20" s="252">
        <v>30000</v>
      </c>
      <c r="L20" s="38"/>
      <c r="M20" s="42">
        <f t="shared" si="2"/>
        <v>250000</v>
      </c>
      <c r="N20" s="230">
        <v>131366.15</v>
      </c>
      <c r="O20" s="231">
        <v>63661.27</v>
      </c>
      <c r="P20" s="42">
        <f t="shared" si="3"/>
        <v>195027.41999999998</v>
      </c>
      <c r="Q20" s="253" t="s">
        <v>54</v>
      </c>
      <c r="R20" s="360" t="s">
        <v>168</v>
      </c>
      <c r="S20" s="361"/>
      <c r="T20" s="362"/>
    </row>
    <row r="21" spans="1:26" s="19" customFormat="1" ht="13.5" customHeight="1">
      <c r="A21" s="20" t="s">
        <v>14</v>
      </c>
      <c r="B21" s="21" t="s">
        <v>27</v>
      </c>
      <c r="C21" s="21" t="s">
        <v>28</v>
      </c>
      <c r="D21" s="21" t="s">
        <v>15</v>
      </c>
      <c r="E21" s="21"/>
      <c r="F21" s="22" t="s">
        <v>29</v>
      </c>
      <c r="G21" s="21" t="s">
        <v>31</v>
      </c>
      <c r="H21" s="134" t="s">
        <v>50</v>
      </c>
      <c r="I21" s="85">
        <v>100000</v>
      </c>
      <c r="J21" s="27">
        <v>70000</v>
      </c>
      <c r="K21" s="27">
        <v>57000</v>
      </c>
      <c r="L21" s="25"/>
      <c r="M21" s="42">
        <f t="shared" si="2"/>
        <v>227000</v>
      </c>
      <c r="N21" s="230" t="s">
        <v>158</v>
      </c>
      <c r="O21" s="231" t="s">
        <v>158</v>
      </c>
      <c r="P21" s="223" t="s">
        <v>158</v>
      </c>
      <c r="Q21" s="131" t="s">
        <v>54</v>
      </c>
      <c r="R21" s="225" t="s">
        <v>158</v>
      </c>
      <c r="S21" s="244" t="s">
        <v>158</v>
      </c>
      <c r="T21" s="26"/>
    </row>
    <row r="22" spans="1:26" s="19" customFormat="1" ht="13.5" customHeight="1">
      <c r="A22" s="20" t="s">
        <v>19</v>
      </c>
      <c r="B22" s="21" t="s">
        <v>27</v>
      </c>
      <c r="C22" s="21" t="s">
        <v>28</v>
      </c>
      <c r="D22" s="21" t="s">
        <v>20</v>
      </c>
      <c r="E22" s="21"/>
      <c r="F22" s="22" t="s">
        <v>29</v>
      </c>
      <c r="G22" s="21" t="s">
        <v>31</v>
      </c>
      <c r="H22" s="134" t="s">
        <v>50</v>
      </c>
      <c r="I22" s="85">
        <v>100000</v>
      </c>
      <c r="J22" s="27">
        <v>70000</v>
      </c>
      <c r="K22" s="27">
        <v>75000</v>
      </c>
      <c r="L22" s="29"/>
      <c r="M22" s="42">
        <f t="shared" si="2"/>
        <v>245000</v>
      </c>
      <c r="N22" s="230" t="s">
        <v>158</v>
      </c>
      <c r="O22" s="231" t="s">
        <v>158</v>
      </c>
      <c r="P22" s="223" t="s">
        <v>158</v>
      </c>
      <c r="Q22" s="131" t="s">
        <v>54</v>
      </c>
      <c r="R22" s="225" t="s">
        <v>158</v>
      </c>
      <c r="S22" s="244" t="s">
        <v>158</v>
      </c>
      <c r="T22" s="26"/>
    </row>
    <row r="23" spans="1:26" s="19" customFormat="1" ht="13.5" customHeight="1" thickBot="1">
      <c r="A23" s="118" t="s">
        <v>22</v>
      </c>
      <c r="B23" s="119" t="s">
        <v>27</v>
      </c>
      <c r="C23" s="119" t="s">
        <v>30</v>
      </c>
      <c r="D23" s="119" t="s">
        <v>124</v>
      </c>
      <c r="E23" s="119"/>
      <c r="F23" s="120" t="s">
        <v>29</v>
      </c>
      <c r="G23" s="119" t="s">
        <v>32</v>
      </c>
      <c r="H23" s="137" t="s">
        <v>50</v>
      </c>
      <c r="I23" s="121">
        <v>150000</v>
      </c>
      <c r="J23" s="122">
        <v>70000</v>
      </c>
      <c r="K23" s="122">
        <v>57000</v>
      </c>
      <c r="L23" s="123"/>
      <c r="M23" s="42">
        <f t="shared" si="2"/>
        <v>277000</v>
      </c>
      <c r="N23" s="224" t="s">
        <v>158</v>
      </c>
      <c r="O23" s="284">
        <v>69397.77</v>
      </c>
      <c r="P23" s="255" t="s">
        <v>158</v>
      </c>
      <c r="Q23" s="140" t="s">
        <v>54</v>
      </c>
      <c r="R23" s="243">
        <v>4642371</v>
      </c>
      <c r="S23" s="244" t="s">
        <v>158</v>
      </c>
      <c r="T23" s="125"/>
    </row>
    <row r="24" spans="1:26" s="19" customFormat="1" ht="13.5" customHeight="1">
      <c r="A24" s="78" t="s">
        <v>39</v>
      </c>
      <c r="B24" s="79" t="s">
        <v>25</v>
      </c>
      <c r="C24" s="79" t="s">
        <v>1</v>
      </c>
      <c r="D24" s="79" t="s">
        <v>116</v>
      </c>
      <c r="E24" s="80">
        <v>43225</v>
      </c>
      <c r="F24" s="81" t="s">
        <v>65</v>
      </c>
      <c r="G24" s="79" t="s">
        <v>49</v>
      </c>
      <c r="H24" s="133" t="s">
        <v>50</v>
      </c>
      <c r="I24" s="278"/>
      <c r="J24" s="279"/>
      <c r="K24" s="279"/>
      <c r="L24" s="279"/>
      <c r="M24" s="82">
        <v>40000</v>
      </c>
      <c r="N24" s="95">
        <v>40000</v>
      </c>
      <c r="O24" s="83" t="s">
        <v>99</v>
      </c>
      <c r="P24" s="232">
        <f>N24</f>
        <v>40000</v>
      </c>
      <c r="Q24" s="236" t="s">
        <v>53</v>
      </c>
      <c r="R24" s="84">
        <v>130000</v>
      </c>
      <c r="S24" s="84">
        <v>243174.09</v>
      </c>
      <c r="T24" s="237">
        <f>R24-S24</f>
        <v>-113174.09</v>
      </c>
      <c r="V24" s="23"/>
      <c r="W24" s="23"/>
      <c r="X24" s="23"/>
      <c r="Z24" s="23"/>
    </row>
    <row r="25" spans="1:26" s="19" customFormat="1" ht="13.5" customHeight="1">
      <c r="A25" s="20" t="s">
        <v>40</v>
      </c>
      <c r="B25" s="21" t="s">
        <v>25</v>
      </c>
      <c r="C25" s="21" t="s">
        <v>1</v>
      </c>
      <c r="D25" s="21" t="s">
        <v>116</v>
      </c>
      <c r="E25" s="39">
        <v>43377</v>
      </c>
      <c r="F25" s="22" t="s">
        <v>65</v>
      </c>
      <c r="G25" s="21" t="s">
        <v>49</v>
      </c>
      <c r="H25" s="134" t="s">
        <v>50</v>
      </c>
      <c r="I25" s="276"/>
      <c r="J25" s="277"/>
      <c r="K25" s="277"/>
      <c r="L25" s="277"/>
      <c r="M25" s="42">
        <v>40000</v>
      </c>
      <c r="N25" s="85">
        <v>40000</v>
      </c>
      <c r="O25" s="56" t="s">
        <v>99</v>
      </c>
      <c r="P25" s="233">
        <f>N25</f>
        <v>40000</v>
      </c>
      <c r="Q25" s="238" t="s">
        <v>53</v>
      </c>
      <c r="R25" s="27">
        <v>130000</v>
      </c>
      <c r="S25" s="27">
        <v>266894.03999999998</v>
      </c>
      <c r="T25" s="239">
        <f>R25-S25</f>
        <v>-136894.03999999998</v>
      </c>
      <c r="V25" s="23"/>
      <c r="W25" s="23"/>
      <c r="X25" s="23"/>
      <c r="Z25" s="23"/>
    </row>
    <row r="26" spans="1:26" s="19" customFormat="1" ht="13.5" customHeight="1">
      <c r="A26" s="20" t="s">
        <v>44</v>
      </c>
      <c r="B26" s="21" t="s">
        <v>25</v>
      </c>
      <c r="C26" s="21" t="s">
        <v>1</v>
      </c>
      <c r="D26" s="21" t="s">
        <v>120</v>
      </c>
      <c r="E26" s="39">
        <v>43921</v>
      </c>
      <c r="F26" s="22" t="s">
        <v>64</v>
      </c>
      <c r="G26" s="21" t="s">
        <v>49</v>
      </c>
      <c r="H26" s="134" t="s">
        <v>50</v>
      </c>
      <c r="I26" s="276"/>
      <c r="J26" s="277"/>
      <c r="K26" s="277"/>
      <c r="L26" s="277"/>
      <c r="M26" s="42">
        <v>35000</v>
      </c>
      <c r="N26" s="85">
        <v>35000</v>
      </c>
      <c r="O26" s="56" t="s">
        <v>99</v>
      </c>
      <c r="P26" s="233">
        <f>N26</f>
        <v>35000</v>
      </c>
      <c r="Q26" s="238" t="s">
        <v>53</v>
      </c>
      <c r="R26" s="27">
        <v>265312.94</v>
      </c>
      <c r="S26" s="27">
        <v>333535.89</v>
      </c>
      <c r="T26" s="239">
        <f>R26-S26</f>
        <v>-68222.950000000012</v>
      </c>
      <c r="V26" s="23"/>
      <c r="W26" s="23"/>
      <c r="X26" s="23"/>
      <c r="Z26" s="23"/>
    </row>
    <row r="27" spans="1:26" s="19" customFormat="1" ht="13.5" customHeight="1">
      <c r="A27" s="20" t="s">
        <v>12</v>
      </c>
      <c r="B27" s="21" t="s">
        <v>25</v>
      </c>
      <c r="C27" s="21" t="s">
        <v>1</v>
      </c>
      <c r="D27" s="21" t="s">
        <v>123</v>
      </c>
      <c r="E27" s="21"/>
      <c r="F27" s="22" t="s">
        <v>64</v>
      </c>
      <c r="G27" s="21" t="s">
        <v>101</v>
      </c>
      <c r="H27" s="134" t="s">
        <v>50</v>
      </c>
      <c r="I27" s="276"/>
      <c r="J27" s="277"/>
      <c r="K27" s="277"/>
      <c r="L27" s="280"/>
      <c r="M27" s="42">
        <f t="shared" ref="M27:M34" si="4">SUM(I27:L27)</f>
        <v>0</v>
      </c>
      <c r="N27" s="85">
        <v>35000</v>
      </c>
      <c r="O27" s="56" t="s">
        <v>99</v>
      </c>
      <c r="P27" s="233">
        <f>N27</f>
        <v>35000</v>
      </c>
      <c r="Q27" s="238" t="s">
        <v>54</v>
      </c>
      <c r="R27" s="225" t="s">
        <v>158</v>
      </c>
      <c r="S27" s="244" t="s">
        <v>158</v>
      </c>
      <c r="T27" s="240"/>
    </row>
    <row r="28" spans="1:26" s="19" customFormat="1" ht="13.5" customHeight="1">
      <c r="A28" s="20" t="s">
        <v>3</v>
      </c>
      <c r="B28" s="21" t="s">
        <v>25</v>
      </c>
      <c r="C28" s="21" t="s">
        <v>28</v>
      </c>
      <c r="D28" s="21" t="s">
        <v>62</v>
      </c>
      <c r="E28" s="21"/>
      <c r="F28" s="22" t="s">
        <v>29</v>
      </c>
      <c r="G28" s="21" t="s">
        <v>51</v>
      </c>
      <c r="H28" s="134" t="s">
        <v>50</v>
      </c>
      <c r="I28" s="85">
        <v>90000</v>
      </c>
      <c r="J28" s="27">
        <v>60000</v>
      </c>
      <c r="K28" s="87">
        <v>93914</v>
      </c>
      <c r="L28" s="24"/>
      <c r="M28" s="42">
        <f t="shared" si="4"/>
        <v>243914</v>
      </c>
      <c r="N28" s="285">
        <v>187790.94</v>
      </c>
      <c r="O28" s="86">
        <v>35707.51</v>
      </c>
      <c r="P28" s="233">
        <f>SUM(N28:O28)</f>
        <v>223498.45</v>
      </c>
      <c r="Q28" s="238" t="s">
        <v>164</v>
      </c>
      <c r="R28" s="245">
        <v>4928007</v>
      </c>
      <c r="S28" s="244" t="s">
        <v>158</v>
      </c>
      <c r="T28" s="241"/>
    </row>
    <row r="29" spans="1:26" s="19" customFormat="1" ht="13.15" customHeight="1">
      <c r="A29" s="20" t="s">
        <v>16</v>
      </c>
      <c r="B29" s="21" t="s">
        <v>25</v>
      </c>
      <c r="C29" s="21" t="s">
        <v>28</v>
      </c>
      <c r="D29" s="21" t="s">
        <v>61</v>
      </c>
      <c r="E29" s="21"/>
      <c r="F29" s="22" t="s">
        <v>29</v>
      </c>
      <c r="G29" s="21" t="s">
        <v>51</v>
      </c>
      <c r="H29" s="134" t="s">
        <v>50</v>
      </c>
      <c r="I29" s="85">
        <v>90000</v>
      </c>
      <c r="J29" s="27">
        <v>60000</v>
      </c>
      <c r="K29" s="27">
        <v>115000</v>
      </c>
      <c r="L29" s="25"/>
      <c r="M29" s="42">
        <f t="shared" si="4"/>
        <v>265000</v>
      </c>
      <c r="N29" s="222" t="s">
        <v>158</v>
      </c>
      <c r="O29" s="86">
        <v>61407.19</v>
      </c>
      <c r="P29" s="254" t="s">
        <v>158</v>
      </c>
      <c r="Q29" s="238" t="s">
        <v>53</v>
      </c>
      <c r="R29" s="245">
        <v>1397000</v>
      </c>
      <c r="S29" s="244" t="s">
        <v>158</v>
      </c>
      <c r="T29" s="241"/>
    </row>
    <row r="30" spans="1:26" s="19" customFormat="1" ht="13.5" customHeight="1">
      <c r="A30" s="118" t="s">
        <v>17</v>
      </c>
      <c r="B30" s="119" t="s">
        <v>25</v>
      </c>
      <c r="C30" s="119" t="s">
        <v>28</v>
      </c>
      <c r="D30" s="119" t="s">
        <v>18</v>
      </c>
      <c r="E30" s="119"/>
      <c r="F30" s="120" t="s">
        <v>29</v>
      </c>
      <c r="G30" s="119" t="s">
        <v>51</v>
      </c>
      <c r="H30" s="137" t="s">
        <v>50</v>
      </c>
      <c r="I30" s="343">
        <v>150000</v>
      </c>
      <c r="J30" s="344">
        <v>70000</v>
      </c>
      <c r="K30" s="344">
        <v>50000</v>
      </c>
      <c r="L30" s="126"/>
      <c r="M30" s="124">
        <f t="shared" si="4"/>
        <v>270000</v>
      </c>
      <c r="N30" s="224">
        <v>148075.46</v>
      </c>
      <c r="O30" s="363" t="s">
        <v>169</v>
      </c>
      <c r="P30" s="364"/>
      <c r="Q30" s="364"/>
      <c r="R30" s="364"/>
      <c r="S30" s="364"/>
      <c r="T30" s="365"/>
    </row>
    <row r="31" spans="1:26" s="19" customFormat="1" ht="13.5" customHeight="1">
      <c r="A31" s="20" t="s">
        <v>155</v>
      </c>
      <c r="B31" s="21" t="s">
        <v>25</v>
      </c>
      <c r="C31" s="21" t="s">
        <v>28</v>
      </c>
      <c r="D31" s="21" t="s">
        <v>156</v>
      </c>
      <c r="E31" s="288"/>
      <c r="F31" s="22" t="s">
        <v>29</v>
      </c>
      <c r="G31" s="21" t="s">
        <v>51</v>
      </c>
      <c r="H31" s="134" t="s">
        <v>50</v>
      </c>
      <c r="I31" s="251">
        <v>90000</v>
      </c>
      <c r="J31" s="252">
        <v>70000</v>
      </c>
      <c r="K31" s="225" t="s">
        <v>158</v>
      </c>
      <c r="L31" s="24"/>
      <c r="M31" s="42">
        <f t="shared" si="4"/>
        <v>160000</v>
      </c>
      <c r="N31" s="222" t="s">
        <v>158</v>
      </c>
      <c r="O31" s="86">
        <v>39822.17</v>
      </c>
      <c r="P31" s="256" t="s">
        <v>158</v>
      </c>
      <c r="Q31" s="298" t="s">
        <v>54</v>
      </c>
      <c r="R31" s="245">
        <v>2306585</v>
      </c>
      <c r="S31" s="360" t="s">
        <v>170</v>
      </c>
      <c r="T31" s="361"/>
    </row>
    <row r="32" spans="1:26" s="19" customFormat="1" ht="13.5" customHeight="1" thickBot="1">
      <c r="A32" s="289" t="s">
        <v>154</v>
      </c>
      <c r="B32" s="290" t="s">
        <v>25</v>
      </c>
      <c r="C32" s="290" t="s">
        <v>28</v>
      </c>
      <c r="D32" s="290" t="s">
        <v>18</v>
      </c>
      <c r="E32" s="291"/>
      <c r="F32" s="292" t="s">
        <v>29</v>
      </c>
      <c r="G32" s="290" t="s">
        <v>51</v>
      </c>
      <c r="H32" s="293" t="s">
        <v>50</v>
      </c>
      <c r="I32" s="294">
        <v>150000</v>
      </c>
      <c r="J32" s="295">
        <v>70000</v>
      </c>
      <c r="K32" s="295" t="s">
        <v>158</v>
      </c>
      <c r="L32" s="199"/>
      <c r="M32" s="296">
        <f t="shared" si="4"/>
        <v>220000</v>
      </c>
      <c r="N32" s="286" t="s">
        <v>158</v>
      </c>
      <c r="O32" s="287" t="s">
        <v>158</v>
      </c>
      <c r="P32" s="257" t="s">
        <v>158</v>
      </c>
      <c r="Q32" s="299" t="s">
        <v>54</v>
      </c>
      <c r="R32" s="300" t="s">
        <v>158</v>
      </c>
      <c r="S32" s="246" t="s">
        <v>158</v>
      </c>
      <c r="T32" s="242"/>
    </row>
    <row r="33" spans="1:20" s="19" customFormat="1" ht="13.5" customHeight="1">
      <c r="A33" s="78" t="s">
        <v>4</v>
      </c>
      <c r="B33" s="79" t="s">
        <v>26</v>
      </c>
      <c r="C33" s="79" t="s">
        <v>28</v>
      </c>
      <c r="D33" s="79" t="s">
        <v>55</v>
      </c>
      <c r="E33" s="79"/>
      <c r="F33" s="81" t="s">
        <v>29</v>
      </c>
      <c r="G33" s="79" t="s">
        <v>51</v>
      </c>
      <c r="H33" s="133" t="s">
        <v>50</v>
      </c>
      <c r="I33" s="248">
        <v>90000</v>
      </c>
      <c r="J33" s="249">
        <v>60000</v>
      </c>
      <c r="K33" s="249">
        <v>109669</v>
      </c>
      <c r="L33" s="127"/>
      <c r="M33" s="82">
        <f t="shared" si="4"/>
        <v>259669</v>
      </c>
      <c r="N33" s="297">
        <v>197891.26</v>
      </c>
      <c r="O33" s="128">
        <v>38903.800000000003</v>
      </c>
      <c r="P33" s="82">
        <f>SUM(N33:O33)</f>
        <v>236795.06</v>
      </c>
      <c r="Q33" s="250" t="s">
        <v>54</v>
      </c>
      <c r="R33" s="234">
        <v>1718191</v>
      </c>
      <c r="S33" s="247" t="s">
        <v>158</v>
      </c>
      <c r="T33" s="235"/>
    </row>
    <row r="34" spans="1:20" s="19" customFormat="1" ht="13.5" customHeight="1">
      <c r="A34" s="20" t="s">
        <v>6</v>
      </c>
      <c r="B34" s="21" t="s">
        <v>26</v>
      </c>
      <c r="C34" s="21" t="s">
        <v>28</v>
      </c>
      <c r="D34" s="21" t="s">
        <v>56</v>
      </c>
      <c r="E34" s="21"/>
      <c r="F34" s="22" t="s">
        <v>29</v>
      </c>
      <c r="G34" s="21" t="s">
        <v>51</v>
      </c>
      <c r="H34" s="134" t="s">
        <v>50</v>
      </c>
      <c r="I34" s="251">
        <v>90000</v>
      </c>
      <c r="J34" s="252">
        <v>60000</v>
      </c>
      <c r="K34" s="252">
        <v>140000</v>
      </c>
      <c r="L34" s="29"/>
      <c r="M34" s="42">
        <f t="shared" si="4"/>
        <v>290000</v>
      </c>
      <c r="N34" s="222" t="s">
        <v>158</v>
      </c>
      <c r="O34" s="86">
        <v>44604.68</v>
      </c>
      <c r="P34" s="223" t="s">
        <v>158</v>
      </c>
      <c r="Q34" s="253" t="s">
        <v>54</v>
      </c>
      <c r="R34" s="245">
        <v>1930829</v>
      </c>
      <c r="S34" s="244" t="s">
        <v>158</v>
      </c>
      <c r="T34" s="26"/>
    </row>
    <row r="35" spans="1:20" ht="20.25" customHeight="1" thickBot="1">
      <c r="A35" s="7"/>
      <c r="B35" s="8"/>
      <c r="C35" s="5"/>
      <c r="D35" s="5"/>
      <c r="E35" s="5"/>
      <c r="F35" s="5"/>
      <c r="G35" s="8"/>
      <c r="H35" s="130"/>
      <c r="I35" s="142"/>
      <c r="J35" s="143"/>
      <c r="K35" s="143"/>
      <c r="L35" s="143"/>
      <c r="M35" s="147"/>
      <c r="N35" s="144"/>
      <c r="O35" s="145"/>
      <c r="P35" s="146"/>
      <c r="Q35" s="132"/>
      <c r="R35" s="14"/>
      <c r="S35" s="148"/>
      <c r="T35" s="149"/>
    </row>
    <row r="36" spans="1:20" ht="12.75" customHeight="1" thickTop="1">
      <c r="O36" s="18"/>
    </row>
    <row r="37" spans="1:20" ht="12" customHeight="1">
      <c r="A37" s="198"/>
    </row>
    <row r="38" spans="1:20" ht="12.75" customHeight="1">
      <c r="A38" s="358" t="s">
        <v>63</v>
      </c>
      <c r="B38" s="359"/>
      <c r="C38" s="359"/>
      <c r="D38" s="359"/>
      <c r="E38" s="359"/>
      <c r="F38" s="359"/>
      <c r="G38" s="359"/>
      <c r="H38" s="359"/>
      <c r="I38" s="359"/>
      <c r="J38" s="359"/>
      <c r="K38" s="359"/>
      <c r="L38" s="359"/>
      <c r="M38" s="359"/>
      <c r="N38" s="359"/>
      <c r="O38" s="359"/>
    </row>
    <row r="39" spans="1:20" ht="43.5" customHeight="1">
      <c r="A39" s="367" t="s">
        <v>86</v>
      </c>
      <c r="B39" s="368"/>
      <c r="C39" s="368"/>
      <c r="D39" s="368"/>
      <c r="E39" s="368"/>
      <c r="F39" s="368"/>
      <c r="G39" s="368"/>
      <c r="H39" s="368"/>
      <c r="I39" s="368"/>
      <c r="J39" s="368"/>
      <c r="K39" s="368"/>
      <c r="L39" s="368"/>
      <c r="M39" s="368"/>
      <c r="N39" s="35"/>
      <c r="O39" s="35"/>
    </row>
    <row r="40" spans="1:20" s="35" customFormat="1">
      <c r="A40" s="367" t="s">
        <v>133</v>
      </c>
      <c r="B40" s="368"/>
      <c r="C40" s="368"/>
      <c r="D40" s="368"/>
      <c r="E40" s="368"/>
      <c r="F40" s="368"/>
      <c r="G40" s="368"/>
      <c r="H40" s="368"/>
      <c r="I40" s="368"/>
      <c r="J40" s="368"/>
      <c r="K40" s="368"/>
      <c r="L40" s="368"/>
      <c r="M40" s="368"/>
      <c r="N40" s="368"/>
      <c r="O40" s="368"/>
      <c r="S40" s="15"/>
      <c r="T40" s="12"/>
    </row>
    <row r="41" spans="1:20" s="35" customFormat="1" ht="26.25" customHeight="1">
      <c r="A41" s="367" t="s">
        <v>79</v>
      </c>
      <c r="B41" s="368"/>
      <c r="C41" s="368"/>
      <c r="D41" s="368"/>
      <c r="E41" s="368"/>
      <c r="F41" s="368"/>
      <c r="G41" s="368"/>
      <c r="H41" s="368"/>
      <c r="I41" s="368"/>
      <c r="J41" s="368"/>
      <c r="K41" s="368"/>
      <c r="L41" s="368"/>
      <c r="M41" s="368"/>
      <c r="N41" s="74"/>
      <c r="O41" s="74"/>
      <c r="S41" s="15"/>
      <c r="T41" s="12"/>
    </row>
    <row r="42" spans="1:20" s="35" customFormat="1" ht="26.25" customHeight="1">
      <c r="A42" s="367" t="s">
        <v>87</v>
      </c>
      <c r="B42" s="368"/>
      <c r="C42" s="368"/>
      <c r="D42" s="368"/>
      <c r="E42" s="368"/>
      <c r="F42" s="368"/>
      <c r="G42" s="368"/>
      <c r="H42" s="368"/>
      <c r="I42" s="368"/>
      <c r="J42" s="368"/>
      <c r="K42" s="368"/>
      <c r="L42" s="368"/>
      <c r="M42" s="368"/>
      <c r="N42" s="36" t="s">
        <v>76</v>
      </c>
      <c r="O42" s="74"/>
      <c r="S42" s="15"/>
      <c r="T42" s="12"/>
    </row>
    <row r="43" spans="1:20" s="35" customFormat="1">
      <c r="A43" s="367" t="s">
        <v>89</v>
      </c>
      <c r="B43" s="368"/>
      <c r="C43" s="368"/>
      <c r="D43" s="368"/>
      <c r="E43" s="368"/>
      <c r="F43" s="368"/>
      <c r="G43" s="368"/>
      <c r="H43" s="368"/>
      <c r="I43" s="368"/>
      <c r="J43" s="368"/>
      <c r="K43" s="368"/>
      <c r="L43" s="368"/>
      <c r="M43" s="368"/>
      <c r="N43" s="368"/>
      <c r="O43" s="368"/>
      <c r="S43" s="15"/>
      <c r="T43" s="12"/>
    </row>
    <row r="44" spans="1:20" s="35" customFormat="1" ht="30" customHeight="1">
      <c r="A44" s="367" t="s">
        <v>102</v>
      </c>
      <c r="B44" s="368"/>
      <c r="C44" s="368"/>
      <c r="D44" s="368"/>
      <c r="E44" s="368"/>
      <c r="F44" s="368"/>
      <c r="G44" s="368"/>
      <c r="H44" s="368"/>
      <c r="I44" s="368"/>
      <c r="J44" s="368"/>
      <c r="K44" s="368"/>
      <c r="L44" s="368"/>
      <c r="M44" s="368"/>
      <c r="N44" s="368"/>
      <c r="O44" s="368"/>
      <c r="S44" s="15"/>
      <c r="T44" s="12"/>
    </row>
    <row r="45" spans="1:20" s="35" customFormat="1" ht="18.75" customHeight="1">
      <c r="A45" s="367" t="s">
        <v>160</v>
      </c>
      <c r="B45" s="368"/>
      <c r="C45" s="368"/>
      <c r="D45" s="368"/>
      <c r="E45" s="368"/>
      <c r="F45" s="368"/>
      <c r="G45" s="368"/>
      <c r="H45" s="368"/>
      <c r="I45" s="368"/>
      <c r="J45" s="368"/>
      <c r="K45" s="368"/>
      <c r="L45" s="368"/>
      <c r="M45" s="368"/>
      <c r="N45" s="368"/>
      <c r="O45" s="368"/>
      <c r="S45" s="15"/>
      <c r="T45" s="12"/>
    </row>
    <row r="46" spans="1:20" ht="16.5">
      <c r="A46" s="366" t="s">
        <v>171</v>
      </c>
      <c r="B46" s="366"/>
      <c r="C46" s="366"/>
      <c r="D46" s="366"/>
      <c r="E46" s="366"/>
      <c r="F46" s="366"/>
      <c r="G46" s="366"/>
      <c r="H46" s="366"/>
      <c r="I46" s="366"/>
      <c r="J46" s="366"/>
      <c r="K46" s="366"/>
      <c r="L46" s="366"/>
      <c r="M46" s="366"/>
      <c r="N46" s="366"/>
      <c r="O46" s="366"/>
    </row>
    <row r="47" spans="1:20" ht="16.5">
      <c r="A47" s="366" t="s">
        <v>173</v>
      </c>
      <c r="B47" s="366"/>
      <c r="C47" s="366"/>
      <c r="D47" s="366"/>
      <c r="E47" s="366"/>
      <c r="F47" s="366"/>
      <c r="G47" s="366"/>
      <c r="H47" s="366"/>
      <c r="I47" s="366"/>
      <c r="J47" s="366"/>
      <c r="K47" s="366"/>
      <c r="L47" s="366"/>
      <c r="M47" s="366"/>
      <c r="N47" s="366"/>
      <c r="O47" s="366"/>
    </row>
    <row r="48" spans="1:20" ht="16.5">
      <c r="A48" s="366" t="s">
        <v>172</v>
      </c>
      <c r="B48" s="366"/>
      <c r="C48" s="366"/>
      <c r="D48" s="366"/>
      <c r="E48" s="366"/>
      <c r="F48" s="366"/>
      <c r="G48" s="366"/>
      <c r="H48" s="366"/>
      <c r="I48" s="366"/>
      <c r="J48" s="366"/>
      <c r="K48" s="366"/>
      <c r="L48" s="366"/>
      <c r="M48" s="366"/>
      <c r="N48" s="366"/>
      <c r="O48" s="366"/>
    </row>
  </sheetData>
  <mergeCells count="19">
    <mergeCell ref="A46:O46"/>
    <mergeCell ref="A47:O47"/>
    <mergeCell ref="A48:O48"/>
    <mergeCell ref="A39:M39"/>
    <mergeCell ref="A1:P2"/>
    <mergeCell ref="I5:M5"/>
    <mergeCell ref="N5:P5"/>
    <mergeCell ref="A45:O45"/>
    <mergeCell ref="A40:O40"/>
    <mergeCell ref="A41:M41"/>
    <mergeCell ref="A42:M42"/>
    <mergeCell ref="A43:O43"/>
    <mergeCell ref="A44:O44"/>
    <mergeCell ref="Q5:T5"/>
    <mergeCell ref="A38:O38"/>
    <mergeCell ref="R19:T19"/>
    <mergeCell ref="R20:T20"/>
    <mergeCell ref="S31:T31"/>
    <mergeCell ref="O30:T30"/>
  </mergeCells>
  <pageMargins left="0.25" right="0.25" top="0.75" bottom="0.75" header="0.3" footer="0.3"/>
  <pageSetup paperSize="5" scale="5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04768-62E5-43EE-8F9A-8EBAF8C0F320}">
  <sheetPr>
    <pageSetUpPr fitToPage="1"/>
  </sheetPr>
  <dimension ref="A1:Y46"/>
  <sheetViews>
    <sheetView zoomScaleNormal="100" workbookViewId="0">
      <pane xSplit="6" ySplit="6" topLeftCell="Q34" activePane="bottomRight" state="frozen"/>
      <selection pane="topRight" activeCell="G1" sqref="G1"/>
      <selection pane="bottomLeft" activeCell="A8" sqref="A8"/>
      <selection pane="bottomRight" sqref="A1:S2"/>
    </sheetView>
  </sheetViews>
  <sheetFormatPr defaultColWidth="6.85546875" defaultRowHeight="12.75" customHeight="1"/>
  <cols>
    <col min="1" max="1" width="28.42578125" customWidth="1"/>
    <col min="2" max="2" width="7.7109375" style="3" customWidth="1"/>
    <col min="3" max="3" width="11" customWidth="1"/>
    <col min="4" max="4" width="16.5703125" customWidth="1"/>
    <col min="5" max="5" width="15.5703125" customWidth="1"/>
    <col min="6" max="6" width="11.5703125" style="3" customWidth="1"/>
    <col min="7" max="9" width="15.7109375" style="3" customWidth="1"/>
    <col min="10" max="11" width="15.7109375" customWidth="1"/>
    <col min="12" max="12" width="13.42578125" customWidth="1"/>
    <col min="13" max="13" width="15.5703125" customWidth="1"/>
    <col min="14" max="14" width="12.7109375" customWidth="1"/>
    <col min="15" max="15" width="14" customWidth="1"/>
    <col min="16" max="18" width="15.7109375" customWidth="1"/>
    <col min="19" max="20" width="21.7109375" customWidth="1"/>
    <col min="21" max="21" width="23.85546875" customWidth="1"/>
    <col min="22" max="24" width="15.7109375" customWidth="1"/>
    <col min="25" max="25" width="15.7109375" style="17" customWidth="1"/>
  </cols>
  <sheetData>
    <row r="1" spans="1:25" ht="19.5" customHeight="1">
      <c r="A1" s="369" t="s">
        <v>110</v>
      </c>
      <c r="B1" s="369"/>
      <c r="C1" s="369"/>
      <c r="D1" s="369"/>
      <c r="E1" s="369"/>
      <c r="F1" s="369"/>
      <c r="G1" s="369"/>
      <c r="H1" s="369"/>
      <c r="I1" s="369"/>
      <c r="J1" s="369"/>
      <c r="K1" s="369"/>
      <c r="L1" s="369"/>
      <c r="M1" s="369"/>
      <c r="N1" s="369"/>
      <c r="O1" s="369"/>
      <c r="P1" s="369"/>
      <c r="Q1" s="369"/>
      <c r="R1" s="369"/>
      <c r="S1" s="369"/>
      <c r="T1" s="58"/>
    </row>
    <row r="2" spans="1:25" ht="18">
      <c r="A2" s="369"/>
      <c r="B2" s="369"/>
      <c r="C2" s="369"/>
      <c r="D2" s="369"/>
      <c r="E2" s="369"/>
      <c r="F2" s="369"/>
      <c r="G2" s="369"/>
      <c r="H2" s="369"/>
      <c r="I2" s="369"/>
      <c r="J2" s="369"/>
      <c r="K2" s="369"/>
      <c r="L2" s="369"/>
      <c r="M2" s="369"/>
      <c r="N2" s="369"/>
      <c r="O2" s="369"/>
      <c r="P2" s="369"/>
      <c r="Q2" s="369"/>
      <c r="R2" s="369"/>
      <c r="S2" s="369"/>
      <c r="T2" s="58"/>
    </row>
    <row r="3" spans="1:25" ht="20.25" customHeight="1"/>
    <row r="4" spans="1:25" ht="20.25" customHeight="1" thickBot="1">
      <c r="A4" s="57"/>
      <c r="B4" s="57"/>
      <c r="C4" s="57"/>
    </row>
    <row r="5" spans="1:25" s="34" customFormat="1" ht="102.75" customHeight="1" thickTop="1">
      <c r="A5" s="10" t="s">
        <v>24</v>
      </c>
      <c r="B5" s="10" t="s">
        <v>23</v>
      </c>
      <c r="C5" s="10" t="s">
        <v>0</v>
      </c>
      <c r="D5" s="10" t="s">
        <v>125</v>
      </c>
      <c r="E5" s="10" t="s">
        <v>113</v>
      </c>
      <c r="F5" s="10" t="s">
        <v>72</v>
      </c>
      <c r="G5" s="409" t="s">
        <v>112</v>
      </c>
      <c r="H5" s="413"/>
      <c r="I5" s="414" t="s">
        <v>106</v>
      </c>
      <c r="J5" s="415"/>
      <c r="K5" s="409" t="s">
        <v>104</v>
      </c>
      <c r="L5" s="416"/>
      <c r="M5" s="414" t="s">
        <v>107</v>
      </c>
      <c r="N5" s="410"/>
      <c r="O5" s="409" t="s">
        <v>100</v>
      </c>
      <c r="P5" s="410"/>
      <c r="Q5" s="409" t="s">
        <v>77</v>
      </c>
      <c r="R5" s="415"/>
      <c r="S5" s="333" t="s">
        <v>78</v>
      </c>
      <c r="T5" s="333" t="s">
        <v>71</v>
      </c>
      <c r="U5" s="333" t="s">
        <v>57</v>
      </c>
      <c r="V5" s="409" t="s">
        <v>108</v>
      </c>
      <c r="W5" s="410"/>
      <c r="X5" s="333" t="s">
        <v>84</v>
      </c>
      <c r="Y5" s="334" t="s">
        <v>80</v>
      </c>
    </row>
    <row r="6" spans="1:25" ht="15.75" customHeight="1" thickBot="1">
      <c r="A6" s="62"/>
      <c r="B6" s="62"/>
      <c r="C6" s="62"/>
      <c r="D6" s="62"/>
      <c r="E6" s="62"/>
      <c r="F6" s="62"/>
      <c r="G6" s="60" t="s">
        <v>53</v>
      </c>
      <c r="H6" s="61" t="s">
        <v>54</v>
      </c>
      <c r="I6" s="64" t="s">
        <v>53</v>
      </c>
      <c r="J6" s="65" t="s">
        <v>54</v>
      </c>
      <c r="K6" s="66" t="s">
        <v>53</v>
      </c>
      <c r="L6" s="67" t="s">
        <v>54</v>
      </c>
      <c r="M6" s="66" t="s">
        <v>53</v>
      </c>
      <c r="N6" s="65" t="s">
        <v>54</v>
      </c>
      <c r="O6" s="68" t="s">
        <v>53</v>
      </c>
      <c r="P6" s="65" t="s">
        <v>54</v>
      </c>
      <c r="Q6" s="68" t="s">
        <v>53</v>
      </c>
      <c r="R6" s="65" t="s">
        <v>54</v>
      </c>
      <c r="S6" s="69" t="s">
        <v>82</v>
      </c>
      <c r="T6" s="69" t="s">
        <v>53</v>
      </c>
      <c r="U6" s="70" t="s">
        <v>105</v>
      </c>
      <c r="V6" s="66" t="s">
        <v>53</v>
      </c>
      <c r="W6" s="61" t="s">
        <v>54</v>
      </c>
      <c r="X6" s="69"/>
      <c r="Y6" s="71"/>
    </row>
    <row r="7" spans="1:25" s="2" customFormat="1" ht="13.5" customHeight="1" thickTop="1">
      <c r="A7" s="75" t="s">
        <v>37</v>
      </c>
      <c r="B7" s="76" t="s">
        <v>27</v>
      </c>
      <c r="C7" s="76" t="s">
        <v>1</v>
      </c>
      <c r="D7" s="76" t="s">
        <v>114</v>
      </c>
      <c r="E7" s="77">
        <v>42749</v>
      </c>
      <c r="F7" s="46" t="s">
        <v>31</v>
      </c>
      <c r="G7" s="99"/>
      <c r="H7" s="100"/>
      <c r="I7" s="100"/>
      <c r="J7" s="101"/>
      <c r="K7" s="379"/>
      <c r="L7" s="380"/>
      <c r="M7" s="383"/>
      <c r="N7" s="384"/>
      <c r="O7" s="205"/>
      <c r="P7" s="206"/>
      <c r="Q7" s="214"/>
      <c r="R7" s="52"/>
      <c r="S7" s="54"/>
      <c r="T7" s="54"/>
      <c r="U7" s="54"/>
      <c r="V7" s="109"/>
      <c r="W7" s="52"/>
      <c r="X7" s="54"/>
      <c r="Y7" s="113">
        <f>778/30</f>
        <v>25.933333333333334</v>
      </c>
    </row>
    <row r="8" spans="1:25" s="2" customFormat="1" ht="13.5" customHeight="1">
      <c r="A8" s="6" t="s">
        <v>38</v>
      </c>
      <c r="B8" s="4" t="s">
        <v>27</v>
      </c>
      <c r="C8" s="4" t="s">
        <v>1</v>
      </c>
      <c r="D8" s="4" t="s">
        <v>115</v>
      </c>
      <c r="E8" s="39">
        <v>42809</v>
      </c>
      <c r="F8" s="47" t="s">
        <v>31</v>
      </c>
      <c r="G8" s="102"/>
      <c r="H8" s="96"/>
      <c r="I8" s="96"/>
      <c r="J8" s="103"/>
      <c r="K8" s="381"/>
      <c r="L8" s="382"/>
      <c r="M8" s="385"/>
      <c r="N8" s="386"/>
      <c r="O8" s="207"/>
      <c r="P8" s="208"/>
      <c r="Q8" s="204"/>
      <c r="R8" s="48"/>
      <c r="S8" s="111"/>
      <c r="T8" s="111"/>
      <c r="U8" s="111"/>
      <c r="V8" s="110"/>
      <c r="W8" s="48"/>
      <c r="X8" s="111"/>
      <c r="Y8" s="112">
        <f>593/31</f>
        <v>19.129032258064516</v>
      </c>
    </row>
    <row r="9" spans="1:25" s="2" customFormat="1" ht="13.5" customHeight="1">
      <c r="A9" s="6" t="s">
        <v>41</v>
      </c>
      <c r="B9" s="4" t="s">
        <v>27</v>
      </c>
      <c r="C9" s="4" t="s">
        <v>1</v>
      </c>
      <c r="D9" s="4" t="s">
        <v>117</v>
      </c>
      <c r="E9" s="39">
        <v>43727</v>
      </c>
      <c r="F9" s="47" t="s">
        <v>32</v>
      </c>
      <c r="G9" s="102"/>
      <c r="H9" s="96"/>
      <c r="I9" s="96"/>
      <c r="J9" s="103"/>
      <c r="K9" s="381"/>
      <c r="L9" s="382"/>
      <c r="M9" s="373"/>
      <c r="N9" s="374"/>
      <c r="O9" s="207"/>
      <c r="P9" s="208"/>
      <c r="Q9" s="204"/>
      <c r="R9" s="48"/>
      <c r="S9" s="111"/>
      <c r="T9" s="111"/>
      <c r="U9" s="111"/>
      <c r="V9" s="110"/>
      <c r="W9" s="48"/>
      <c r="X9" s="111"/>
      <c r="Y9" s="112">
        <f>980/31</f>
        <v>31.612903225806452</v>
      </c>
    </row>
    <row r="10" spans="1:25" s="2" customFormat="1" ht="13.5" customHeight="1">
      <c r="A10" s="6" t="s">
        <v>42</v>
      </c>
      <c r="B10" s="4" t="s">
        <v>27</v>
      </c>
      <c r="C10" s="4" t="s">
        <v>1</v>
      </c>
      <c r="D10" s="4" t="s">
        <v>118</v>
      </c>
      <c r="E10" s="39">
        <v>43727</v>
      </c>
      <c r="F10" s="47" t="s">
        <v>32</v>
      </c>
      <c r="G10" s="102"/>
      <c r="H10" s="98"/>
      <c r="I10" s="96"/>
      <c r="J10" s="103"/>
      <c r="K10" s="381"/>
      <c r="L10" s="382"/>
      <c r="M10" s="373"/>
      <c r="N10" s="374"/>
      <c r="O10" s="207"/>
      <c r="P10" s="208"/>
      <c r="Q10" s="204"/>
      <c r="R10" s="48"/>
      <c r="S10" s="111"/>
      <c r="T10" s="111"/>
      <c r="U10" s="111"/>
      <c r="V10" s="110"/>
      <c r="W10" s="48"/>
      <c r="X10" s="111"/>
      <c r="Y10" s="112">
        <f>980/31</f>
        <v>31.612903225806452</v>
      </c>
    </row>
    <row r="11" spans="1:25" s="2" customFormat="1" ht="13.5" customHeight="1">
      <c r="A11" s="6" t="s">
        <v>43</v>
      </c>
      <c r="B11" s="4" t="s">
        <v>27</v>
      </c>
      <c r="C11" s="4" t="s">
        <v>1</v>
      </c>
      <c r="D11" s="4" t="s">
        <v>119</v>
      </c>
      <c r="E11" s="39">
        <v>43789</v>
      </c>
      <c r="F11" s="47" t="s">
        <v>31</v>
      </c>
      <c r="G11" s="102"/>
      <c r="H11" s="98"/>
      <c r="I11" s="96"/>
      <c r="J11" s="103"/>
      <c r="K11" s="381"/>
      <c r="L11" s="382"/>
      <c r="M11" s="373"/>
      <c r="N11" s="374"/>
      <c r="O11" s="207"/>
      <c r="P11" s="208"/>
      <c r="Q11" s="204"/>
      <c r="R11" s="48"/>
      <c r="S11" s="111"/>
      <c r="T11" s="111"/>
      <c r="U11" s="111"/>
      <c r="V11" s="110"/>
      <c r="W11" s="48"/>
      <c r="X11" s="111"/>
      <c r="Y11" s="112">
        <f>964/31</f>
        <v>31.096774193548388</v>
      </c>
    </row>
    <row r="12" spans="1:25" s="2" customFormat="1" ht="13.5" customHeight="1">
      <c r="A12" s="6" t="s">
        <v>45</v>
      </c>
      <c r="B12" s="4" t="s">
        <v>27</v>
      </c>
      <c r="C12" s="4" t="s">
        <v>1</v>
      </c>
      <c r="D12" s="4" t="s">
        <v>115</v>
      </c>
      <c r="E12" s="39">
        <v>43923</v>
      </c>
      <c r="F12" s="47" t="s">
        <v>49</v>
      </c>
      <c r="G12" s="102"/>
      <c r="H12" s="96"/>
      <c r="I12" s="96"/>
      <c r="J12" s="103"/>
      <c r="K12" s="381"/>
      <c r="L12" s="382"/>
      <c r="M12" s="373"/>
      <c r="N12" s="374"/>
      <c r="O12" s="212"/>
      <c r="P12" s="213"/>
      <c r="Q12" s="204"/>
      <c r="R12" s="48"/>
      <c r="S12" s="111"/>
      <c r="T12" s="111"/>
      <c r="U12" s="111"/>
      <c r="V12" s="110"/>
      <c r="W12" s="48"/>
      <c r="X12" s="111"/>
      <c r="Y12" s="112">
        <f>727/31</f>
        <v>23.451612903225808</v>
      </c>
    </row>
    <row r="13" spans="1:25" s="2" customFormat="1" ht="13.5" customHeight="1">
      <c r="A13" s="6" t="s">
        <v>46</v>
      </c>
      <c r="B13" s="4" t="s">
        <v>27</v>
      </c>
      <c r="C13" s="4" t="s">
        <v>1</v>
      </c>
      <c r="D13" s="4" t="s">
        <v>126</v>
      </c>
      <c r="E13" s="39">
        <v>44117</v>
      </c>
      <c r="F13" s="47" t="s">
        <v>31</v>
      </c>
      <c r="G13" s="102"/>
      <c r="H13" s="96"/>
      <c r="I13" s="96"/>
      <c r="J13" s="103"/>
      <c r="K13" s="381"/>
      <c r="L13" s="382"/>
      <c r="M13" s="373"/>
      <c r="N13" s="374"/>
      <c r="O13" s="207"/>
      <c r="P13" s="208"/>
      <c r="Q13" s="204"/>
      <c r="R13" s="48"/>
      <c r="S13" s="111"/>
      <c r="T13" s="111"/>
      <c r="U13" s="111"/>
      <c r="V13" s="110"/>
      <c r="W13" s="48"/>
      <c r="X13" s="111"/>
      <c r="Y13" s="112">
        <f>977/31</f>
        <v>31.516129032258064</v>
      </c>
    </row>
    <row r="14" spans="1:25" s="2" customFormat="1" ht="13.5" customHeight="1">
      <c r="A14" s="6" t="s">
        <v>47</v>
      </c>
      <c r="B14" s="4" t="s">
        <v>27</v>
      </c>
      <c r="C14" s="4" t="s">
        <v>48</v>
      </c>
      <c r="D14" s="4" t="s">
        <v>122</v>
      </c>
      <c r="E14" s="39">
        <v>44176</v>
      </c>
      <c r="F14" s="47" t="s">
        <v>31</v>
      </c>
      <c r="G14" s="102"/>
      <c r="H14" s="96"/>
      <c r="I14" s="96"/>
      <c r="J14" s="103"/>
      <c r="K14" s="381"/>
      <c r="L14" s="382"/>
      <c r="M14" s="373"/>
      <c r="N14" s="374"/>
      <c r="O14" s="207"/>
      <c r="P14" s="208"/>
      <c r="Q14" s="204"/>
      <c r="R14" s="48"/>
      <c r="S14" s="111"/>
      <c r="T14" s="111"/>
      <c r="U14" s="111"/>
      <c r="V14" s="110"/>
      <c r="W14" s="48"/>
      <c r="X14" s="111"/>
      <c r="Y14" s="112">
        <f>2626/31</f>
        <v>84.709677419354833</v>
      </c>
    </row>
    <row r="15" spans="1:25" s="2" customFormat="1" ht="13.5" customHeight="1">
      <c r="A15" s="20" t="s">
        <v>7</v>
      </c>
      <c r="B15" s="21" t="s">
        <v>27</v>
      </c>
      <c r="C15" s="21" t="s">
        <v>28</v>
      </c>
      <c r="D15" s="21" t="s">
        <v>127</v>
      </c>
      <c r="E15" s="21"/>
      <c r="F15" s="336" t="s">
        <v>32</v>
      </c>
      <c r="G15" s="411">
        <v>10</v>
      </c>
      <c r="H15" s="412"/>
      <c r="I15" s="337" t="s">
        <v>50</v>
      </c>
      <c r="J15" s="314" t="s">
        <v>50</v>
      </c>
      <c r="K15" s="391">
        <v>5</v>
      </c>
      <c r="L15" s="392"/>
      <c r="M15" s="377" t="s">
        <v>50</v>
      </c>
      <c r="N15" s="378"/>
      <c r="O15" s="338" t="s">
        <v>50</v>
      </c>
      <c r="P15" s="312" t="s">
        <v>50</v>
      </c>
      <c r="Q15" s="335">
        <v>0</v>
      </c>
      <c r="R15" s="314">
        <v>2</v>
      </c>
      <c r="S15" s="315">
        <v>10</v>
      </c>
      <c r="T15" s="315">
        <v>0</v>
      </c>
      <c r="U15" s="315">
        <v>5</v>
      </c>
      <c r="V15" s="339" t="s">
        <v>158</v>
      </c>
      <c r="W15" s="314" t="s">
        <v>158</v>
      </c>
      <c r="X15" s="315" t="s">
        <v>158</v>
      </c>
      <c r="Y15" s="315"/>
    </row>
    <row r="16" spans="1:25" s="2" customFormat="1" ht="13.5" customHeight="1">
      <c r="A16" s="20" t="s">
        <v>13</v>
      </c>
      <c r="B16" s="21" t="s">
        <v>27</v>
      </c>
      <c r="C16" s="21" t="s">
        <v>28</v>
      </c>
      <c r="D16" s="21" t="s">
        <v>60</v>
      </c>
      <c r="E16" s="288">
        <v>44773</v>
      </c>
      <c r="F16" s="336" t="s">
        <v>32</v>
      </c>
      <c r="G16" s="411">
        <v>10</v>
      </c>
      <c r="H16" s="412"/>
      <c r="I16" s="337" t="s">
        <v>50</v>
      </c>
      <c r="J16" s="314" t="s">
        <v>50</v>
      </c>
      <c r="K16" s="391">
        <v>3</v>
      </c>
      <c r="L16" s="392"/>
      <c r="M16" s="377" t="s">
        <v>50</v>
      </c>
      <c r="N16" s="378"/>
      <c r="O16" s="338" t="s">
        <v>50</v>
      </c>
      <c r="P16" s="312" t="s">
        <v>50</v>
      </c>
      <c r="Q16" s="335">
        <v>0</v>
      </c>
      <c r="R16" s="314">
        <v>2</v>
      </c>
      <c r="S16" s="315">
        <v>4</v>
      </c>
      <c r="T16" s="315">
        <f>29/31</f>
        <v>0.93548387096774188</v>
      </c>
      <c r="U16" s="315" t="s">
        <v>50</v>
      </c>
      <c r="V16" s="339">
        <v>26</v>
      </c>
      <c r="W16" s="314">
        <v>26</v>
      </c>
      <c r="X16" s="315">
        <v>46</v>
      </c>
      <c r="Y16" s="315">
        <v>44</v>
      </c>
    </row>
    <row r="17" spans="1:25" s="2" customFormat="1" ht="13.5" customHeight="1">
      <c r="A17" s="20" t="s">
        <v>5</v>
      </c>
      <c r="B17" s="21" t="s">
        <v>27</v>
      </c>
      <c r="C17" s="21" t="s">
        <v>28</v>
      </c>
      <c r="D17" s="21" t="s">
        <v>128</v>
      </c>
      <c r="E17" s="21"/>
      <c r="F17" s="336" t="s">
        <v>31</v>
      </c>
      <c r="G17" s="411">
        <v>5</v>
      </c>
      <c r="H17" s="412"/>
      <c r="I17" s="337" t="s">
        <v>50</v>
      </c>
      <c r="J17" s="314" t="s">
        <v>50</v>
      </c>
      <c r="K17" s="391">
        <v>5</v>
      </c>
      <c r="L17" s="392"/>
      <c r="M17" s="377" t="s">
        <v>50</v>
      </c>
      <c r="N17" s="378"/>
      <c r="O17" s="338" t="s">
        <v>50</v>
      </c>
      <c r="P17" s="312" t="s">
        <v>50</v>
      </c>
      <c r="Q17" s="335">
        <v>0</v>
      </c>
      <c r="R17" s="314">
        <v>0</v>
      </c>
      <c r="S17" s="315">
        <v>6</v>
      </c>
      <c r="T17" s="315">
        <v>0</v>
      </c>
      <c r="U17" s="315">
        <f>191/31</f>
        <v>6.161290322580645</v>
      </c>
      <c r="V17" s="339" t="s">
        <v>158</v>
      </c>
      <c r="W17" s="314" t="s">
        <v>158</v>
      </c>
      <c r="X17" s="315" t="s">
        <v>158</v>
      </c>
      <c r="Y17" s="315"/>
    </row>
    <row r="18" spans="1:25" s="2" customFormat="1" ht="15" customHeight="1">
      <c r="A18" s="20" t="s">
        <v>21</v>
      </c>
      <c r="B18" s="21" t="s">
        <v>27</v>
      </c>
      <c r="C18" s="21" t="s">
        <v>28</v>
      </c>
      <c r="D18" s="21" t="s">
        <v>33</v>
      </c>
      <c r="E18" s="21"/>
      <c r="F18" s="336" t="s">
        <v>31</v>
      </c>
      <c r="G18" s="411">
        <v>10</v>
      </c>
      <c r="H18" s="412"/>
      <c r="I18" s="337" t="s">
        <v>50</v>
      </c>
      <c r="J18" s="314" t="s">
        <v>50</v>
      </c>
      <c r="K18" s="391">
        <v>5</v>
      </c>
      <c r="L18" s="392"/>
      <c r="M18" s="377" t="s">
        <v>50</v>
      </c>
      <c r="N18" s="378"/>
      <c r="O18" s="338" t="s">
        <v>50</v>
      </c>
      <c r="P18" s="312" t="s">
        <v>50</v>
      </c>
      <c r="Q18" s="335">
        <v>0</v>
      </c>
      <c r="R18" s="314">
        <v>2</v>
      </c>
      <c r="S18" s="315">
        <v>4</v>
      </c>
      <c r="T18" s="315">
        <f>56/31</f>
        <v>1.8064516129032258</v>
      </c>
      <c r="U18" s="315">
        <f>161/31</f>
        <v>5.193548387096774</v>
      </c>
      <c r="V18" s="339" t="s">
        <v>158</v>
      </c>
      <c r="W18" s="314" t="s">
        <v>158</v>
      </c>
      <c r="X18" s="315" t="s">
        <v>158</v>
      </c>
      <c r="Y18" s="315"/>
    </row>
    <row r="19" spans="1:25" s="2" customFormat="1" ht="28.5" customHeight="1">
      <c r="A19" s="6" t="s">
        <v>8</v>
      </c>
      <c r="B19" s="4" t="s">
        <v>27</v>
      </c>
      <c r="C19" s="4" t="s">
        <v>28</v>
      </c>
      <c r="D19" s="4" t="s">
        <v>62</v>
      </c>
      <c r="E19" s="4"/>
      <c r="F19" s="47" t="s">
        <v>32</v>
      </c>
      <c r="G19" s="105">
        <v>1</v>
      </c>
      <c r="H19" s="97">
        <v>3</v>
      </c>
      <c r="I19" s="97">
        <v>1</v>
      </c>
      <c r="J19" s="104">
        <v>2</v>
      </c>
      <c r="K19" s="407">
        <v>7</v>
      </c>
      <c r="L19" s="408"/>
      <c r="M19" s="395">
        <v>1</v>
      </c>
      <c r="N19" s="396"/>
      <c r="O19" s="262">
        <v>2</v>
      </c>
      <c r="P19" s="311" t="s">
        <v>162</v>
      </c>
      <c r="Q19" s="226"/>
      <c r="R19" s="227"/>
      <c r="S19" s="228"/>
      <c r="T19" s="228"/>
      <c r="U19" s="228"/>
      <c r="V19" s="229"/>
      <c r="W19" s="227"/>
      <c r="X19" s="228"/>
      <c r="Y19" s="112"/>
    </row>
    <row r="20" spans="1:25" s="2" customFormat="1" ht="25.5">
      <c r="A20" s="20" t="s">
        <v>10</v>
      </c>
      <c r="B20" s="21" t="s">
        <v>27</v>
      </c>
      <c r="C20" s="21" t="s">
        <v>28</v>
      </c>
      <c r="D20" s="21" t="s">
        <v>132</v>
      </c>
      <c r="E20" s="21"/>
      <c r="F20" s="336" t="s">
        <v>32</v>
      </c>
      <c r="G20" s="340">
        <v>1</v>
      </c>
      <c r="H20" s="341">
        <v>6</v>
      </c>
      <c r="I20" s="341">
        <v>5</v>
      </c>
      <c r="J20" s="314">
        <v>4</v>
      </c>
      <c r="K20" s="391">
        <v>6</v>
      </c>
      <c r="L20" s="392"/>
      <c r="M20" s="397">
        <v>1</v>
      </c>
      <c r="N20" s="398"/>
      <c r="O20" s="262">
        <v>2</v>
      </c>
      <c r="P20" s="312">
        <v>1</v>
      </c>
      <c r="Q20" s="342">
        <v>0</v>
      </c>
      <c r="R20" s="314">
        <v>1</v>
      </c>
      <c r="S20" s="311" t="s">
        <v>99</v>
      </c>
      <c r="T20" s="228"/>
      <c r="U20" s="228"/>
      <c r="V20" s="229"/>
      <c r="W20" s="227"/>
      <c r="X20" s="228"/>
      <c r="Y20" s="315"/>
    </row>
    <row r="21" spans="1:25" s="2" customFormat="1" ht="13.5" customHeight="1">
      <c r="A21" s="20" t="s">
        <v>14</v>
      </c>
      <c r="B21" s="21" t="s">
        <v>27</v>
      </c>
      <c r="C21" s="21" t="s">
        <v>28</v>
      </c>
      <c r="D21" s="21" t="s">
        <v>131</v>
      </c>
      <c r="E21" s="21"/>
      <c r="F21" s="336" t="s">
        <v>31</v>
      </c>
      <c r="G21" s="339">
        <v>2</v>
      </c>
      <c r="H21" s="337">
        <v>4</v>
      </c>
      <c r="I21" s="337">
        <v>1</v>
      </c>
      <c r="J21" s="314">
        <v>6</v>
      </c>
      <c r="K21" s="391">
        <v>7</v>
      </c>
      <c r="L21" s="392"/>
      <c r="M21" s="397">
        <v>1</v>
      </c>
      <c r="N21" s="398"/>
      <c r="O21" s="262">
        <v>1</v>
      </c>
      <c r="P21" s="312">
        <v>3</v>
      </c>
      <c r="Q21" s="335">
        <v>0</v>
      </c>
      <c r="R21" s="314">
        <v>1</v>
      </c>
      <c r="S21" s="316">
        <v>6</v>
      </c>
      <c r="T21" s="315">
        <v>6</v>
      </c>
      <c r="U21" s="315">
        <v>5</v>
      </c>
      <c r="V21" s="339" t="s">
        <v>158</v>
      </c>
      <c r="W21" s="314" t="s">
        <v>158</v>
      </c>
      <c r="X21" s="315" t="s">
        <v>158</v>
      </c>
      <c r="Y21" s="315"/>
    </row>
    <row r="22" spans="1:25" s="2" customFormat="1" ht="13.5" customHeight="1">
      <c r="A22" s="20" t="s">
        <v>19</v>
      </c>
      <c r="B22" s="21" t="s">
        <v>27</v>
      </c>
      <c r="C22" s="21" t="s">
        <v>28</v>
      </c>
      <c r="D22" s="21" t="s">
        <v>130</v>
      </c>
      <c r="E22" s="21"/>
      <c r="F22" s="336" t="s">
        <v>31</v>
      </c>
      <c r="G22" s="339">
        <v>2</v>
      </c>
      <c r="H22" s="337">
        <v>4</v>
      </c>
      <c r="I22" s="337">
        <v>1</v>
      </c>
      <c r="J22" s="314">
        <v>6</v>
      </c>
      <c r="K22" s="391">
        <v>7</v>
      </c>
      <c r="L22" s="392"/>
      <c r="M22" s="397">
        <v>1</v>
      </c>
      <c r="N22" s="398"/>
      <c r="O22" s="262">
        <v>2</v>
      </c>
      <c r="P22" s="312">
        <v>1</v>
      </c>
      <c r="Q22" s="335">
        <v>0</v>
      </c>
      <c r="R22" s="314">
        <v>1</v>
      </c>
      <c r="S22" s="316">
        <v>6</v>
      </c>
      <c r="T22" s="315">
        <v>6</v>
      </c>
      <c r="U22" s="315">
        <v>3</v>
      </c>
      <c r="V22" s="339" t="s">
        <v>158</v>
      </c>
      <c r="W22" s="314" t="s">
        <v>158</v>
      </c>
      <c r="X22" s="315" t="s">
        <v>158</v>
      </c>
      <c r="Y22" s="315"/>
    </row>
    <row r="23" spans="1:25" s="2" customFormat="1" ht="13.5" customHeight="1" thickBot="1">
      <c r="A23" s="118" t="s">
        <v>22</v>
      </c>
      <c r="B23" s="119" t="s">
        <v>27</v>
      </c>
      <c r="C23" s="119" t="s">
        <v>30</v>
      </c>
      <c r="D23" s="119" t="s">
        <v>124</v>
      </c>
      <c r="E23" s="119"/>
      <c r="F23" s="301" t="s">
        <v>32</v>
      </c>
      <c r="G23" s="302">
        <v>2</v>
      </c>
      <c r="H23" s="303">
        <v>4</v>
      </c>
      <c r="I23" s="303">
        <v>1</v>
      </c>
      <c r="J23" s="304">
        <v>2</v>
      </c>
      <c r="K23" s="393">
        <v>4</v>
      </c>
      <c r="L23" s="394"/>
      <c r="M23" s="399">
        <v>2</v>
      </c>
      <c r="N23" s="400"/>
      <c r="O23" s="261">
        <v>2</v>
      </c>
      <c r="P23" s="313">
        <v>3</v>
      </c>
      <c r="Q23" s="318">
        <v>0</v>
      </c>
      <c r="R23" s="304">
        <v>0</v>
      </c>
      <c r="S23" s="317">
        <v>2</v>
      </c>
      <c r="T23" s="317">
        <v>0</v>
      </c>
      <c r="U23" s="317">
        <v>1</v>
      </c>
      <c r="V23" s="339" t="s">
        <v>158</v>
      </c>
      <c r="W23" s="314" t="s">
        <v>158</v>
      </c>
      <c r="X23" s="317" t="s">
        <v>158</v>
      </c>
      <c r="Y23" s="317"/>
    </row>
    <row r="24" spans="1:25" s="2" customFormat="1" ht="13.5" customHeight="1">
      <c r="A24" s="91" t="s">
        <v>39</v>
      </c>
      <c r="B24" s="63" t="s">
        <v>25</v>
      </c>
      <c r="C24" s="63" t="s">
        <v>1</v>
      </c>
      <c r="D24" s="63" t="s">
        <v>116</v>
      </c>
      <c r="E24" s="80">
        <v>43225</v>
      </c>
      <c r="F24" s="114" t="s">
        <v>49</v>
      </c>
      <c r="G24" s="115"/>
      <c r="H24" s="116"/>
      <c r="I24" s="116"/>
      <c r="J24" s="117"/>
      <c r="K24" s="403"/>
      <c r="L24" s="404"/>
      <c r="M24" s="375"/>
      <c r="N24" s="376"/>
      <c r="O24" s="205"/>
      <c r="P24" s="206"/>
      <c r="Q24" s="205"/>
      <c r="R24" s="206"/>
      <c r="S24" s="215"/>
      <c r="T24" s="215"/>
      <c r="U24" s="219"/>
      <c r="V24" s="205"/>
      <c r="W24" s="206"/>
      <c r="X24" s="215"/>
      <c r="Y24" s="221">
        <f>1034/31</f>
        <v>33.354838709677416</v>
      </c>
    </row>
    <row r="25" spans="1:25" s="2" customFormat="1" ht="13.5" customHeight="1">
      <c r="A25" s="6" t="s">
        <v>40</v>
      </c>
      <c r="B25" s="4" t="s">
        <v>25</v>
      </c>
      <c r="C25" s="4" t="s">
        <v>1</v>
      </c>
      <c r="D25" s="4" t="s">
        <v>116</v>
      </c>
      <c r="E25" s="39">
        <v>43377</v>
      </c>
      <c r="F25" s="47" t="s">
        <v>49</v>
      </c>
      <c r="G25" s="102"/>
      <c r="H25" s="96"/>
      <c r="I25" s="96"/>
      <c r="J25" s="103"/>
      <c r="K25" s="381"/>
      <c r="L25" s="382"/>
      <c r="M25" s="373"/>
      <c r="N25" s="374"/>
      <c r="O25" s="207"/>
      <c r="P25" s="208"/>
      <c r="Q25" s="207"/>
      <c r="R25" s="208"/>
      <c r="S25" s="216"/>
      <c r="T25" s="216"/>
      <c r="U25" s="220"/>
      <c r="V25" s="207"/>
      <c r="W25" s="208"/>
      <c r="X25" s="216"/>
      <c r="Y25" s="217">
        <f>1186/31</f>
        <v>38.258064516129032</v>
      </c>
    </row>
    <row r="26" spans="1:25" s="2" customFormat="1" ht="13.5" customHeight="1">
      <c r="A26" s="6" t="s">
        <v>44</v>
      </c>
      <c r="B26" s="4" t="s">
        <v>25</v>
      </c>
      <c r="C26" s="4" t="s">
        <v>1</v>
      </c>
      <c r="D26" s="4" t="s">
        <v>120</v>
      </c>
      <c r="E26" s="39">
        <v>43921</v>
      </c>
      <c r="F26" s="47" t="s">
        <v>49</v>
      </c>
      <c r="G26" s="102"/>
      <c r="H26" s="96"/>
      <c r="I26" s="96"/>
      <c r="J26" s="103"/>
      <c r="K26" s="381"/>
      <c r="L26" s="382"/>
      <c r="M26" s="373"/>
      <c r="N26" s="374"/>
      <c r="O26" s="207"/>
      <c r="P26" s="208"/>
      <c r="Q26" s="207"/>
      <c r="R26" s="208"/>
      <c r="S26" s="216"/>
      <c r="T26" s="216"/>
      <c r="U26" s="220"/>
      <c r="V26" s="207"/>
      <c r="W26" s="208"/>
      <c r="X26" s="216"/>
      <c r="Y26" s="217">
        <f>789/31</f>
        <v>25.451612903225808</v>
      </c>
    </row>
    <row r="27" spans="1:25" s="2" customFormat="1" ht="13.5" customHeight="1">
      <c r="A27" s="6" t="s">
        <v>12</v>
      </c>
      <c r="B27" s="4" t="s">
        <v>25</v>
      </c>
      <c r="C27" s="4" t="s">
        <v>1</v>
      </c>
      <c r="D27" s="4" t="s">
        <v>123</v>
      </c>
      <c r="E27" s="4"/>
      <c r="F27" s="47" t="s">
        <v>101</v>
      </c>
      <c r="G27" s="106"/>
      <c r="H27" s="40"/>
      <c r="I27" s="40"/>
      <c r="J27" s="107"/>
      <c r="K27" s="405"/>
      <c r="L27" s="406"/>
      <c r="M27" s="387"/>
      <c r="N27" s="388"/>
      <c r="O27" s="209"/>
      <c r="P27" s="210"/>
      <c r="Q27" s="209"/>
      <c r="R27" s="210"/>
      <c r="S27" s="264" t="s">
        <v>158</v>
      </c>
      <c r="T27" s="264" t="s">
        <v>158</v>
      </c>
      <c r="U27" s="273" t="s">
        <v>158</v>
      </c>
      <c r="V27" s="262" t="s">
        <v>158</v>
      </c>
      <c r="W27" s="263" t="s">
        <v>158</v>
      </c>
      <c r="X27" s="264" t="s">
        <v>158</v>
      </c>
      <c r="Y27" s="217"/>
    </row>
    <row r="28" spans="1:25" s="2" customFormat="1" ht="13.5" customHeight="1">
      <c r="A28" s="20" t="s">
        <v>3</v>
      </c>
      <c r="B28" s="21" t="s">
        <v>25</v>
      </c>
      <c r="C28" s="21" t="s">
        <v>28</v>
      </c>
      <c r="D28" s="21" t="s">
        <v>62</v>
      </c>
      <c r="E28" s="21"/>
      <c r="F28" s="336" t="s">
        <v>51</v>
      </c>
      <c r="G28" s="411">
        <v>11</v>
      </c>
      <c r="H28" s="417"/>
      <c r="I28" s="337" t="s">
        <v>50</v>
      </c>
      <c r="J28" s="314" t="s">
        <v>50</v>
      </c>
      <c r="K28" s="391">
        <v>3</v>
      </c>
      <c r="L28" s="392"/>
      <c r="M28" s="377" t="s">
        <v>50</v>
      </c>
      <c r="N28" s="378"/>
      <c r="O28" s="338" t="s">
        <v>50</v>
      </c>
      <c r="P28" s="312" t="s">
        <v>50</v>
      </c>
      <c r="Q28" s="262">
        <v>0</v>
      </c>
      <c r="R28" s="263">
        <v>1</v>
      </c>
      <c r="S28" s="264">
        <v>9</v>
      </c>
      <c r="T28" s="264">
        <f>16/31</f>
        <v>0.5161290322580645</v>
      </c>
      <c r="U28" s="273">
        <v>6</v>
      </c>
      <c r="V28" s="262" t="s">
        <v>158</v>
      </c>
      <c r="W28" s="263" t="s">
        <v>158</v>
      </c>
      <c r="X28" s="264" t="s">
        <v>158</v>
      </c>
      <c r="Y28" s="264"/>
    </row>
    <row r="29" spans="1:25" s="2" customFormat="1" ht="13.5" customHeight="1" thickBot="1">
      <c r="A29" s="20" t="s">
        <v>16</v>
      </c>
      <c r="B29" s="21" t="s">
        <v>25</v>
      </c>
      <c r="C29" s="21" t="s">
        <v>28</v>
      </c>
      <c r="D29" s="21" t="s">
        <v>61</v>
      </c>
      <c r="E29" s="21"/>
      <c r="F29" s="336" t="s">
        <v>51</v>
      </c>
      <c r="G29" s="411">
        <v>11</v>
      </c>
      <c r="H29" s="412"/>
      <c r="I29" s="337" t="s">
        <v>50</v>
      </c>
      <c r="J29" s="314" t="s">
        <v>50</v>
      </c>
      <c r="K29" s="391">
        <v>3</v>
      </c>
      <c r="L29" s="392"/>
      <c r="M29" s="377" t="s">
        <v>50</v>
      </c>
      <c r="N29" s="378"/>
      <c r="O29" s="338" t="s">
        <v>50</v>
      </c>
      <c r="P29" s="312" t="s">
        <v>50</v>
      </c>
      <c r="Q29" s="262">
        <v>0</v>
      </c>
      <c r="R29" s="263">
        <v>1</v>
      </c>
      <c r="S29" s="264">
        <v>6</v>
      </c>
      <c r="T29" s="264">
        <f>83/31</f>
        <v>2.6774193548387095</v>
      </c>
      <c r="U29" s="273" t="s">
        <v>158</v>
      </c>
      <c r="V29" s="262" t="s">
        <v>158</v>
      </c>
      <c r="W29" s="263" t="s">
        <v>158</v>
      </c>
      <c r="X29" s="264" t="s">
        <v>158</v>
      </c>
      <c r="Y29" s="264"/>
    </row>
    <row r="30" spans="1:25" s="2" customFormat="1">
      <c r="A30" s="118" t="s">
        <v>17</v>
      </c>
      <c r="B30" s="119" t="s">
        <v>25</v>
      </c>
      <c r="C30" s="119" t="s">
        <v>28</v>
      </c>
      <c r="D30" s="119" t="s">
        <v>18</v>
      </c>
      <c r="E30" s="119"/>
      <c r="F30" s="301" t="s">
        <v>51</v>
      </c>
      <c r="G30" s="302">
        <v>1</v>
      </c>
      <c r="H30" s="303">
        <v>5</v>
      </c>
      <c r="I30" s="303">
        <v>1</v>
      </c>
      <c r="J30" s="304">
        <v>3</v>
      </c>
      <c r="K30" s="391">
        <v>6</v>
      </c>
      <c r="L30" s="392"/>
      <c r="M30" s="397">
        <v>2</v>
      </c>
      <c r="N30" s="398"/>
      <c r="O30" s="262" t="s">
        <v>159</v>
      </c>
      <c r="P30" s="206"/>
      <c r="Q30" s="205"/>
      <c r="R30" s="206"/>
      <c r="S30" s="215"/>
      <c r="T30" s="215"/>
      <c r="U30" s="219"/>
      <c r="V30" s="205"/>
      <c r="W30" s="206"/>
      <c r="X30" s="215"/>
      <c r="Y30" s="264"/>
    </row>
    <row r="31" spans="1:25" s="2" customFormat="1" ht="13.5" customHeight="1">
      <c r="A31" s="20" t="s">
        <v>155</v>
      </c>
      <c r="B31" s="21" t="s">
        <v>25</v>
      </c>
      <c r="C31" s="21" t="s">
        <v>28</v>
      </c>
      <c r="D31" s="21" t="s">
        <v>156</v>
      </c>
      <c r="E31" s="288"/>
      <c r="F31" s="301" t="s">
        <v>51</v>
      </c>
      <c r="G31" s="302">
        <v>2</v>
      </c>
      <c r="H31" s="303">
        <v>3</v>
      </c>
      <c r="I31" s="303">
        <v>1</v>
      </c>
      <c r="J31" s="304">
        <v>3</v>
      </c>
      <c r="K31" s="391">
        <v>8</v>
      </c>
      <c r="L31" s="392"/>
      <c r="M31" s="397">
        <v>2</v>
      </c>
      <c r="N31" s="398"/>
      <c r="O31" s="309">
        <v>2</v>
      </c>
      <c r="P31" s="310">
        <v>1</v>
      </c>
      <c r="Q31" s="262">
        <v>0</v>
      </c>
      <c r="R31" s="263">
        <v>1</v>
      </c>
      <c r="S31" s="264">
        <v>0</v>
      </c>
      <c r="T31" s="264">
        <v>1</v>
      </c>
      <c r="U31" s="262" t="s">
        <v>168</v>
      </c>
      <c r="V31" s="207"/>
      <c r="W31" s="227"/>
      <c r="X31" s="228"/>
      <c r="Y31" s="264"/>
    </row>
    <row r="32" spans="1:25" s="2" customFormat="1" ht="13.5" customHeight="1" thickBot="1">
      <c r="A32" s="289" t="s">
        <v>154</v>
      </c>
      <c r="B32" s="290" t="s">
        <v>25</v>
      </c>
      <c r="C32" s="290" t="s">
        <v>157</v>
      </c>
      <c r="D32" s="290" t="s">
        <v>18</v>
      </c>
      <c r="E32" s="290"/>
      <c r="F32" s="305" t="s">
        <v>51</v>
      </c>
      <c r="G32" s="306">
        <v>1</v>
      </c>
      <c r="H32" s="307">
        <v>3</v>
      </c>
      <c r="I32" s="307">
        <v>1</v>
      </c>
      <c r="J32" s="308">
        <v>12</v>
      </c>
      <c r="K32" s="393">
        <v>3</v>
      </c>
      <c r="L32" s="394"/>
      <c r="M32" s="399">
        <v>2</v>
      </c>
      <c r="N32" s="400"/>
      <c r="O32" s="261">
        <v>1</v>
      </c>
      <c r="P32" s="260" t="s">
        <v>158</v>
      </c>
      <c r="Q32" s="261">
        <v>0</v>
      </c>
      <c r="R32" s="260" t="s">
        <v>158</v>
      </c>
      <c r="S32" s="259" t="s">
        <v>158</v>
      </c>
      <c r="T32" s="259" t="s">
        <v>158</v>
      </c>
      <c r="U32" s="320" t="s">
        <v>158</v>
      </c>
      <c r="V32" s="261" t="s">
        <v>158</v>
      </c>
      <c r="W32" s="260" t="s">
        <v>158</v>
      </c>
      <c r="X32" s="259" t="s">
        <v>158</v>
      </c>
      <c r="Y32" s="259"/>
    </row>
    <row r="33" spans="1:25" s="2" customFormat="1" ht="13.5" customHeight="1">
      <c r="A33" s="91" t="s">
        <v>4</v>
      </c>
      <c r="B33" s="63" t="s">
        <v>26</v>
      </c>
      <c r="C33" s="63" t="s">
        <v>28</v>
      </c>
      <c r="D33" s="63" t="s">
        <v>129</v>
      </c>
      <c r="E33" s="63"/>
      <c r="F33" s="114" t="s">
        <v>51</v>
      </c>
      <c r="G33" s="418">
        <v>8</v>
      </c>
      <c r="H33" s="419"/>
      <c r="I33" s="40" t="s">
        <v>50</v>
      </c>
      <c r="J33" s="107" t="s">
        <v>50</v>
      </c>
      <c r="K33" s="389">
        <v>4</v>
      </c>
      <c r="L33" s="390"/>
      <c r="M33" s="401" t="s">
        <v>50</v>
      </c>
      <c r="N33" s="402"/>
      <c r="O33" s="266" t="s">
        <v>50</v>
      </c>
      <c r="P33" s="265" t="s">
        <v>50</v>
      </c>
      <c r="Q33" s="271">
        <v>0</v>
      </c>
      <c r="R33" s="272">
        <v>0</v>
      </c>
      <c r="S33" s="319">
        <v>4</v>
      </c>
      <c r="T33" s="211">
        <f>21/31</f>
        <v>0.67741935483870963</v>
      </c>
      <c r="U33" s="211">
        <f>157/31</f>
        <v>5.064516129032258</v>
      </c>
      <c r="V33" s="218" t="s">
        <v>158</v>
      </c>
      <c r="W33" s="200" t="s">
        <v>158</v>
      </c>
      <c r="X33" s="211" t="s">
        <v>158</v>
      </c>
      <c r="Y33" s="211"/>
    </row>
    <row r="34" spans="1:25" s="2" customFormat="1">
      <c r="A34" s="20" t="s">
        <v>6</v>
      </c>
      <c r="B34" s="21" t="s">
        <v>26</v>
      </c>
      <c r="C34" s="21" t="s">
        <v>28</v>
      </c>
      <c r="D34" s="21" t="s">
        <v>129</v>
      </c>
      <c r="E34" s="21"/>
      <c r="F34" s="336" t="s">
        <v>51</v>
      </c>
      <c r="G34" s="411">
        <v>9</v>
      </c>
      <c r="H34" s="412"/>
      <c r="I34" s="337" t="s">
        <v>50</v>
      </c>
      <c r="J34" s="314" t="s">
        <v>50</v>
      </c>
      <c r="K34" s="391">
        <v>4</v>
      </c>
      <c r="L34" s="392"/>
      <c r="M34" s="377" t="s">
        <v>50</v>
      </c>
      <c r="N34" s="378"/>
      <c r="O34" s="338" t="s">
        <v>50</v>
      </c>
      <c r="P34" s="312" t="s">
        <v>50</v>
      </c>
      <c r="Q34" s="335">
        <v>0</v>
      </c>
      <c r="R34" s="314">
        <v>1</v>
      </c>
      <c r="S34" s="315">
        <v>4</v>
      </c>
      <c r="T34" s="315">
        <f>28/31</f>
        <v>0.90322580645161288</v>
      </c>
      <c r="U34" s="315">
        <f>153/31</f>
        <v>4.935483870967742</v>
      </c>
      <c r="V34" s="339" t="s">
        <v>158</v>
      </c>
      <c r="W34" s="314" t="s">
        <v>158</v>
      </c>
      <c r="X34" s="315" t="s">
        <v>158</v>
      </c>
      <c r="Y34" s="315"/>
    </row>
    <row r="35" spans="1:25" ht="20.25" customHeight="1" thickBot="1">
      <c r="A35" s="7"/>
      <c r="B35" s="8"/>
      <c r="C35" s="5"/>
      <c r="D35" s="5"/>
      <c r="E35" s="5"/>
      <c r="F35" s="49"/>
      <c r="G35" s="108"/>
      <c r="H35" s="8"/>
      <c r="I35" s="8"/>
      <c r="J35" s="43"/>
      <c r="K35" s="50"/>
      <c r="L35" s="5"/>
      <c r="M35" s="5"/>
      <c r="N35" s="45"/>
      <c r="O35" s="202"/>
      <c r="P35" s="203"/>
      <c r="Q35" s="201"/>
      <c r="R35" s="51"/>
      <c r="S35" s="53"/>
      <c r="T35" s="53"/>
      <c r="U35" s="53"/>
      <c r="V35" s="7"/>
      <c r="W35" s="51"/>
      <c r="X35" s="53"/>
      <c r="Y35" s="55"/>
    </row>
    <row r="36" spans="1:25" ht="12.75" customHeight="1" thickTop="1"/>
    <row r="37" spans="1:25" ht="17.25" customHeight="1">
      <c r="A37" s="198"/>
    </row>
    <row r="38" spans="1:25" ht="15" customHeight="1">
      <c r="A38" s="33" t="s">
        <v>163</v>
      </c>
      <c r="V38" s="18"/>
      <c r="W38" s="18"/>
      <c r="X38" s="18"/>
      <c r="Y38" s="72"/>
    </row>
    <row r="39" spans="1:25" ht="15" customHeight="1">
      <c r="A39" s="33" t="s">
        <v>81</v>
      </c>
      <c r="J39" s="9"/>
      <c r="K39" s="9"/>
    </row>
    <row r="40" spans="1:25" ht="15" customHeight="1">
      <c r="A40" s="33" t="s">
        <v>83</v>
      </c>
    </row>
    <row r="41" spans="1:25" ht="15" customHeight="1">
      <c r="A41" s="33" t="s">
        <v>85</v>
      </c>
    </row>
    <row r="42" spans="1:25" ht="14.25">
      <c r="A42" s="59" t="s">
        <v>134</v>
      </c>
    </row>
    <row r="43" spans="1:25" ht="15.75" customHeight="1">
      <c r="A43" s="59" t="s">
        <v>161</v>
      </c>
    </row>
    <row r="44" spans="1:25" ht="16.5">
      <c r="A44" s="59" t="s">
        <v>165</v>
      </c>
    </row>
    <row r="45" spans="1:25" ht="16.5">
      <c r="A45" s="59" t="s">
        <v>166</v>
      </c>
    </row>
    <row r="46" spans="1:25" ht="16.5">
      <c r="A46" s="59" t="s">
        <v>167</v>
      </c>
    </row>
  </sheetData>
  <mergeCells count="72">
    <mergeCell ref="G28:H28"/>
    <mergeCell ref="G29:H29"/>
    <mergeCell ref="G33:H33"/>
    <mergeCell ref="G34:H34"/>
    <mergeCell ref="G16:H16"/>
    <mergeCell ref="V5:W5"/>
    <mergeCell ref="G15:H15"/>
    <mergeCell ref="G18:H18"/>
    <mergeCell ref="G17:H17"/>
    <mergeCell ref="A1:S2"/>
    <mergeCell ref="G5:H5"/>
    <mergeCell ref="I5:J5"/>
    <mergeCell ref="K5:L5"/>
    <mergeCell ref="M5:N5"/>
    <mergeCell ref="O5:P5"/>
    <mergeCell ref="Q5:R5"/>
    <mergeCell ref="K15:L15"/>
    <mergeCell ref="K16:L16"/>
    <mergeCell ref="K17:L17"/>
    <mergeCell ref="K18:L18"/>
    <mergeCell ref="M15:N15"/>
    <mergeCell ref="K19:L19"/>
    <mergeCell ref="K20:L20"/>
    <mergeCell ref="K21:L21"/>
    <mergeCell ref="K22:L22"/>
    <mergeCell ref="K23:L23"/>
    <mergeCell ref="K34:L34"/>
    <mergeCell ref="M19:N19"/>
    <mergeCell ref="M20:N20"/>
    <mergeCell ref="M21:N21"/>
    <mergeCell ref="M22:N22"/>
    <mergeCell ref="M23:N23"/>
    <mergeCell ref="M30:N30"/>
    <mergeCell ref="M31:N31"/>
    <mergeCell ref="M32:N32"/>
    <mergeCell ref="M33:N33"/>
    <mergeCell ref="M34:N34"/>
    <mergeCell ref="K24:L24"/>
    <mergeCell ref="K25:L25"/>
    <mergeCell ref="K26:L26"/>
    <mergeCell ref="K27:L27"/>
    <mergeCell ref="K28:L28"/>
    <mergeCell ref="M28:N28"/>
    <mergeCell ref="M29:N29"/>
    <mergeCell ref="M27:N27"/>
    <mergeCell ref="M26:N26"/>
    <mergeCell ref="K33:L33"/>
    <mergeCell ref="K29:L29"/>
    <mergeCell ref="K30:L30"/>
    <mergeCell ref="K31:L31"/>
    <mergeCell ref="K32:L32"/>
    <mergeCell ref="K7:L7"/>
    <mergeCell ref="K8:L8"/>
    <mergeCell ref="K9:L9"/>
    <mergeCell ref="M16:N16"/>
    <mergeCell ref="M17:N17"/>
    <mergeCell ref="K12:L12"/>
    <mergeCell ref="K13:L13"/>
    <mergeCell ref="K14:L14"/>
    <mergeCell ref="K10:L10"/>
    <mergeCell ref="K11:L11"/>
    <mergeCell ref="M7:N7"/>
    <mergeCell ref="M8:N8"/>
    <mergeCell ref="M9:N9"/>
    <mergeCell ref="M10:N10"/>
    <mergeCell ref="M11:N11"/>
    <mergeCell ref="M12:N12"/>
    <mergeCell ref="M13:N13"/>
    <mergeCell ref="M14:N14"/>
    <mergeCell ref="M24:N24"/>
    <mergeCell ref="M25:N25"/>
    <mergeCell ref="M18:N18"/>
  </mergeCells>
  <pageMargins left="0.25" right="0.25" top="0.75" bottom="0.75" header="0.3" footer="0.3"/>
  <pageSetup paperSize="5" scale="79"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
  <sheetViews>
    <sheetView tabSelected="1" zoomScaleNormal="100" workbookViewId="0"/>
  </sheetViews>
  <sheetFormatPr defaultColWidth="6.85546875" defaultRowHeight="12.75" customHeight="1"/>
  <cols>
    <col min="1" max="1" width="11.85546875" customWidth="1"/>
    <col min="2" max="2" width="17.28515625" customWidth="1"/>
    <col min="3" max="3" width="24.28515625" bestFit="1" customWidth="1"/>
    <col min="4" max="4" width="19.42578125" customWidth="1"/>
  </cols>
  <sheetData>
    <row r="1" spans="1:4" ht="19.5" customHeight="1"/>
    <row r="2" spans="1:4" ht="18">
      <c r="A2" s="37" t="s">
        <v>111</v>
      </c>
    </row>
    <row r="3" spans="1:4" ht="20.25" customHeight="1"/>
    <row r="4" spans="1:4" ht="51" customHeight="1">
      <c r="A4" s="329" t="s">
        <v>34</v>
      </c>
      <c r="B4" s="330" t="s">
        <v>35</v>
      </c>
      <c r="C4" s="330" t="s">
        <v>135</v>
      </c>
      <c r="D4" s="331" t="s">
        <v>95</v>
      </c>
    </row>
    <row r="5" spans="1:4" s="2" customFormat="1" ht="13.5" customHeight="1">
      <c r="A5" s="323">
        <v>2017</v>
      </c>
      <c r="B5" s="321">
        <v>2</v>
      </c>
      <c r="C5" s="321">
        <v>0</v>
      </c>
      <c r="D5" s="324">
        <f>C5/B5</f>
        <v>0</v>
      </c>
    </row>
    <row r="6" spans="1:4" s="2" customFormat="1" ht="13.5" customHeight="1">
      <c r="A6" s="323">
        <v>2018</v>
      </c>
      <c r="B6" s="321">
        <v>2</v>
      </c>
      <c r="C6" s="332">
        <v>2</v>
      </c>
      <c r="D6" s="324">
        <f t="shared" ref="D6:D8" si="0">C6/B6</f>
        <v>1</v>
      </c>
    </row>
    <row r="7" spans="1:4" s="2" customFormat="1" ht="13.5" customHeight="1">
      <c r="A7" s="323">
        <v>2019</v>
      </c>
      <c r="B7" s="321">
        <v>3</v>
      </c>
      <c r="C7" s="322">
        <v>0</v>
      </c>
      <c r="D7" s="324">
        <f t="shared" si="0"/>
        <v>0</v>
      </c>
    </row>
    <row r="8" spans="1:4" s="2" customFormat="1" ht="13.5" customHeight="1">
      <c r="A8" s="323">
        <v>2020</v>
      </c>
      <c r="B8" s="321">
        <v>4</v>
      </c>
      <c r="C8" s="322">
        <v>1</v>
      </c>
      <c r="D8" s="324">
        <f t="shared" si="0"/>
        <v>0.25</v>
      </c>
    </row>
    <row r="9" spans="1:4" ht="12.75" customHeight="1">
      <c r="A9" s="325">
        <v>2021</v>
      </c>
      <c r="B9" s="326">
        <v>0</v>
      </c>
      <c r="C9" s="327" t="s">
        <v>50</v>
      </c>
      <c r="D9" s="328" t="s">
        <v>50</v>
      </c>
    </row>
    <row r="10" spans="1:4" ht="12.75" customHeight="1">
      <c r="A10" s="325">
        <v>2022</v>
      </c>
      <c r="B10" s="326">
        <v>1</v>
      </c>
      <c r="C10" s="327">
        <v>0</v>
      </c>
      <c r="D10" s="328">
        <f t="shared" ref="D10" si="1">C10/B10</f>
        <v>0</v>
      </c>
    </row>
  </sheetData>
  <pageMargins left="0" right="0" top="0" bottom="0" header="0" footer="0"/>
  <pageSetup fitToWidth="0" fitToHeight="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0EFC7D649105419D514C7461879083" ma:contentTypeVersion="50" ma:contentTypeDescription="Create a new document." ma:contentTypeScope="" ma:versionID="50cb231b45d49db510d8fd7c0a55ecad">
  <xsd:schema xmlns:xsd="http://www.w3.org/2001/XMLSchema" xmlns:xs="http://www.w3.org/2001/XMLSchema" xmlns:p="http://schemas.microsoft.com/office/2006/metadata/properties" xmlns:ns1="http://schemas.microsoft.com/sharepoint/v3" xmlns:ns2="f5822c99-9961-48ca-933e-5d90a4aa8158" xmlns:ns3="d308fceb-9ca2-4f99-a260-64602f61e6f4" targetNamespace="http://schemas.microsoft.com/office/2006/metadata/properties" ma:root="true" ma:fieldsID="b4540b96984ca5d619a4e6235a9f6ccf" ns1:_="" ns2:_="" ns3:_="">
    <xsd:import namespace="http://schemas.microsoft.com/sharepoint/v3"/>
    <xsd:import namespace="f5822c99-9961-48ca-933e-5d90a4aa8158"/>
    <xsd:import namespace="d308fceb-9ca2-4f99-a260-64602f61e6f4"/>
    <xsd:element name="properties">
      <xsd:complexType>
        <xsd:sequence>
          <xsd:element name="documentManagement">
            <xsd:complexType>
              <xsd:all>
                <xsd:element ref="ns2:Confidential_x0020_Classification" minOccurs="0"/>
                <xsd:element ref="ns2:Data_x0020_Retention_x0020_Classification" minOccurs="0"/>
                <xsd:element ref="ns2:Workspaces_ID" minOccurs="0"/>
                <xsd:element ref="ns3:Reporting_x0020_Area" minOccurs="0"/>
                <xsd:element ref="ns3:Notes0" minOccurs="0"/>
                <xsd:element ref="ns3:Metric_x0020_Name" minOccurs="0"/>
                <xsd:element ref="ns3:Reporting_x0020_Frequency" minOccurs="0"/>
                <xsd:element ref="ns3:Report_x0020_Type" minOccurs="0"/>
                <xsd:element ref="ns3:Reported_x0020_Metric" minOccurs="0"/>
                <xsd:element ref="ns3:RMM" minOccurs="0"/>
                <xsd:element ref="ns1:PublishingStartDate" minOccurs="0"/>
                <xsd:element ref="ns1:PublishingExpirationDate" minOccurs="0"/>
                <xsd:element ref="ns3:RMM_x003a_Secondary_x0020_Report_x0020_Frequency" minOccurs="0"/>
                <xsd:element ref="ns3:RMM_x003a_Metric_x0020_Name" minOccurs="0"/>
                <xsd:element ref="ns3:RMM_x003a_Report_x0020_Frequency" minOccurs="0"/>
                <xsd:element ref="ns3:RMM_x003a_OC" minOccurs="0"/>
                <xsd:element ref="ns3:RMM_x003a_Reported_x0020_Metric" minOccurs="0"/>
                <xsd:element ref="ns3:RMM_x003a_PBR_x0020_Outcome" minOccurs="0"/>
                <xsd:element ref="ns3:RMM_x003a_Document_x0020_Name" minOccurs="0"/>
                <xsd:element ref="ns3:RMM_x003a_Report_x0020_Type"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822c99-9961-48ca-933e-5d90a4aa8158" elementFormDefault="qualified">
    <xsd:import namespace="http://schemas.microsoft.com/office/2006/documentManagement/types"/>
    <xsd:import namespace="http://schemas.microsoft.com/office/infopath/2007/PartnerControls"/>
    <xsd:element name="Confidential_x0020_Classification" ma:index="8" nillable="true" ma:displayName="Information Classification" ma:description="Information Classification (per Information Resource Master Policy 01-04-00)" ma:format="Dropdown" ma:internalName="Confidential_x0020_Classification" ma:readOnly="false">
      <xsd:simpleType>
        <xsd:restriction base="dms:Choice">
          <xsd:enumeration value="Public"/>
          <xsd:enumeration value="Internal Use"/>
          <xsd:enumeration value="Confidential"/>
          <xsd:enumeration value="Confidential –Restricted Distribution"/>
        </xsd:restriction>
      </xsd:simpleType>
    </xsd:element>
    <xsd:element name="Data_x0020_Retention_x0020_Classification" ma:index="9" nillable="true" ma:displayName="Data Retention Classification" ma:description="Data Retention Classification (per Information Resource Master Policy 01-07-00)" ma:format="Dropdown" ma:internalName="Data_x0020_Retention_x0020_Classification" ma:readOnly="false">
      <xsd:simpleType>
        <xsd:restriction base="dms:Choice">
          <xsd:enumeration value="Official Record"/>
          <xsd:enumeration value="Non-Record"/>
        </xsd:restriction>
      </xsd:simpleType>
    </xsd:element>
    <xsd:element name="Workspaces_ID" ma:index="10" nillable="true" ma:displayName="Workspaces_ID" ma:internalName="Workspaces_ID" ma:readOnly="false">
      <xsd:simpleType>
        <xsd:restriction base="dms:Text">
          <xsd:maxLength value="255"/>
        </xsd:restriction>
      </xsd:simpleType>
    </xsd:element>
    <xsd:element name="TaxCatchAll" ma:index="32" nillable="true" ma:displayName="Taxonomy Catch All Column" ma:hidden="true" ma:list="{8e3a9e49-f2bc-41c4-9b38-5f72ab4eb4f2}" ma:internalName="TaxCatchAll" ma:showField="CatchAllData" ma:web="f5822c99-9961-48ca-933e-5d90a4aa81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08fceb-9ca2-4f99-a260-64602f61e6f4" elementFormDefault="qualified">
    <xsd:import namespace="http://schemas.microsoft.com/office/2006/documentManagement/types"/>
    <xsd:import namespace="http://schemas.microsoft.com/office/infopath/2007/PartnerControls"/>
    <xsd:element name="Reporting_x0020_Area" ma:index="11" nillable="true" ma:displayName="PBR Outcome" ma:description="PBR Reporting Area" ma:internalName="Reporting_x0020_Area" ma:readOnly="false">
      <xsd:simpleType>
        <xsd:restriction base="dms:Text">
          <xsd:maxLength value="255"/>
        </xsd:restriction>
      </xsd:simpleType>
    </xsd:element>
    <xsd:element name="Notes0" ma:index="12" nillable="true" ma:displayName="Notes" ma:internalName="Notes0" ma:readOnly="false">
      <xsd:simpleType>
        <xsd:restriction base="dms:Note">
          <xsd:maxLength value="255"/>
        </xsd:restriction>
      </xsd:simpleType>
    </xsd:element>
    <xsd:element name="Metric_x0020_Name" ma:index="13" nillable="true" ma:displayName="Metric Name" ma:description="Specific Metric Reported by the Document" ma:internalName="Metric_x0020_Name" ma:readOnly="false">
      <xsd:simpleType>
        <xsd:restriction base="dms:Text">
          <xsd:maxLength value="255"/>
        </xsd:restriction>
      </xsd:simpleType>
    </xsd:element>
    <xsd:element name="Reporting_x0020_Frequency" ma:index="14" nillable="true" ma:displayName="Reporting Frequency" ma:description="1 Quarterly&#10;2 Semi-Annual&#10;3 Annual&#10;z None" ma:internalName="Reporting_x0020_Frequency" ma:readOnly="false">
      <xsd:simpleType>
        <xsd:restriction base="dms:Text">
          <xsd:maxLength value="255"/>
        </xsd:restriction>
      </xsd:simpleType>
    </xsd:element>
    <xsd:element name="Report_x0020_Type" ma:index="15" nillable="true" ma:displayName="Report Type" ma:internalName="Report_x0020_Type" ma:readOnly="false">
      <xsd:simpleType>
        <xsd:restriction base="dms:Text">
          <xsd:maxLength value="255"/>
        </xsd:restriction>
      </xsd:simpleType>
    </xsd:element>
    <xsd:element name="Reported_x0020_Metric" ma:index="16" nillable="true" ma:displayName="Reported Metric" ma:default="N/A" ma:description="Reported Metric" ma:internalName="Reported_x0020_Metric" ma:readOnly="false">
      <xsd:complexType>
        <xsd:complexContent>
          <xsd:extension base="dms:MultiChoice">
            <xsd:sequence>
              <xsd:element name="Value" maxOccurs="unbounded" minOccurs="0" nillable="true">
                <xsd:simpleType>
                  <xsd:restriction base="dms:Choice">
                    <xsd:enumeration value="01a LMI Energy Burden"/>
                    <xsd:enumeration value="01b Payment Arrangement"/>
                    <xsd:enumeration value="01c Disconnections"/>
                    <xsd:enumeration value="02a Credit Ratings"/>
                    <xsd:enumeration value="02b Third-Party Generation"/>
                    <xsd:enumeration value="03a Cost Control for Non-ARA Components"/>
                    <xsd:enumeration value="03b Rate Base per Customer"/>
                    <xsd:enumeration value="03c O&amp;M cost per Customer"/>
                    <xsd:enumeration value="03d Annual Revenue Growth"/>
                    <xsd:enumeration value="04a Program Participation"/>
                    <xsd:enumeration value="04b Green Button Connect My Data"/>
                    <xsd:enumeration value="04c Green Button Download My Data"/>
                    <xsd:enumeration value="04d TOU Participation"/>
                    <xsd:enumeration value="04e AMI Opt-Out"/>
                    <xsd:enumeration value="05a LMI Program Participation"/>
                    <xsd:enumeration value="06a DER Grid Services Capability"/>
                    <xsd:enumeration value="06b DER Grid Services Enrollment"/>
                    <xsd:enumeration value="06c DER Grid Services Utilization"/>
                    <xsd:enumeration value="06d DER Curtailment"/>
                    <xsd:enumeration value="07a Fleet Electrification"/>
                    <xsd:enumeration value="07b Measured EV Load (Energy)"/>
                    <xsd:enumeration value="07c Measured EV Load (Demand)"/>
                    <xsd:enumeration value="07d Estimated EV Load"/>
                    <xsd:enumeration value="07e EV Count"/>
                    <xsd:enumeration value="07f Ride Share Fueling Hubs"/>
                    <xsd:enumeration value="08a GHG Emissions"/>
                    <xsd:enumeration value="08b GHG Intensity"/>
                    <xsd:enumeration value="09a Avoided T&amp;D Investment"/>
                    <xsd:enumeration value="09b NWA Total Cost"/>
                    <xsd:enumeration value="10a Total DER Interconnection Time"/>
                    <xsd:enumeration value="10b N/A - Reserved for future scorecard"/>
                    <xsd:enumeration value="10c Truck Roll Response Time"/>
                    <xsd:enumeration value="10d IPP Interconnection"/>
                    <xsd:enumeration value="10e Interconnection Cost Overrun"/>
                    <xsd:enumeration value="11a Critical Load"/>
                    <xsd:enumeration value="11b NIMS Certification"/>
                    <xsd:enumeration value="11c Emergency Response Training"/>
                    <xsd:enumeration value="N/A List of Additional Reports"/>
                    <xsd:enumeration value="N/A"/>
                  </xsd:restriction>
                </xsd:simpleType>
              </xsd:element>
            </xsd:sequence>
          </xsd:extension>
        </xsd:complexContent>
      </xsd:complexType>
    </xsd:element>
    <xsd:element name="RMM" ma:index="17" nillable="true" ma:displayName="RMM" ma:description="Reported Metric Attributes" ma:list="{fbae5abc-f769-442a-b1b7-59f63b6780d5}" ma:internalName="RMM" ma:readOnly="false" ma:showField="DocName">
      <xsd:complexType>
        <xsd:complexContent>
          <xsd:extension base="dms:MultiChoiceLookup">
            <xsd:sequence>
              <xsd:element name="Value" type="dms:Lookup" maxOccurs="unbounded" minOccurs="0" nillable="true"/>
            </xsd:sequence>
          </xsd:extension>
        </xsd:complexContent>
      </xsd:complexType>
    </xsd:element>
    <xsd:element name="RMM_x003a_Secondary_x0020_Report_x0020_Frequency" ma:index="20" nillable="true" ma:displayName="RMM:Secondary Report Frequency" ma:list="{fbae5abc-f769-442a-b1b7-59f63b6780d5}" ma:internalName="RMM_x003a_Secondary_x0020_Report_x0020_Frequency" ma:readOnly="true" ma:showField="SecRepFreq"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Metric_x0020_Name" ma:index="21" nillable="true" ma:displayName="RMM:Metric Name" ma:list="{fbae5abc-f769-442a-b1b7-59f63b6780d5}" ma:internalName="RMM_x003a_Metric_x0020_Name" ma:readOnly="true" ma:showField="MetricName"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Report_x0020_Frequency" ma:index="22" nillable="true" ma:displayName="RMM:Report Frequency" ma:list="{fbae5abc-f769-442a-b1b7-59f63b6780d5}" ma:internalName="RMM_x003a_Report_x0020_Frequency" ma:readOnly="true" ma:showField="RepFreq"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OC" ma:index="23" nillable="true" ma:displayName="RMM:OC" ma:list="{fbae5abc-f769-442a-b1b7-59f63b6780d5}" ma:internalName="RMM_x003a_OC" ma:readOnly="true" ma:showField="OC"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Reported_x0020_Metric" ma:index="24" nillable="true" ma:displayName="RMM:Reported Metric" ma:list="{fbae5abc-f769-442a-b1b7-59f63b6780d5}" ma:internalName="RMM_x003a_Reported_x0020_Metric" ma:readOnly="true" ma:showField="RepMetric"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PBR_x0020_Outcome" ma:index="25" nillable="true" ma:displayName="RMM:PBR Outcome" ma:list="{fbae5abc-f769-442a-b1b7-59f63b6780d5}" ma:internalName="RMM_x003a_PBR_x0020_Outcome" ma:readOnly="true" ma:showField="Title"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Document_x0020_Name" ma:index="26" nillable="true" ma:displayName="RMM:Document Name" ma:list="{fbae5abc-f769-442a-b1b7-59f63b6780d5}" ma:internalName="RMM_x003a_Document_x0020_Name" ma:readOnly="true" ma:showField="DocName"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RMM_x003a_Report_x0020_Type" ma:index="27" nillable="true" ma:displayName="RMM:Report Type" ma:list="{fbae5abc-f769-442a-b1b7-59f63b6780d5}" ma:internalName="RMM_x003a_Report_x0020_Type" ma:readOnly="true" ma:showField="RepType" ma:web="f5822c99-9961-48ca-933e-5d90a4aa8158">
      <xsd:complexType>
        <xsd:complexContent>
          <xsd:extension base="dms:MultiChoiceLookup">
            <xsd:sequence>
              <xsd:element name="Value" type="dms:Lookup" maxOccurs="unbounded" minOccurs="0" nillable="true"/>
            </xsd:sequence>
          </xsd:extension>
        </xsd:complexContent>
      </xsd:complex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755cc815-6a27-4259-a1c5-43c2b30fea65" ma:termSetId="09814cd3-568e-fe90-9814-8d621ff8fb84" ma:anchorId="fba54fb3-c3e1-fe81-a776-ca4b69148c4d" ma:open="true" ma:isKeyword="false">
      <xsd:complexType>
        <xsd:sequence>
          <xsd:element ref="pc:Terms" minOccurs="0" maxOccurs="1"/>
        </xsd:sequence>
      </xsd:complex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Reporting_x0020_Frequency xmlns="d308fceb-9ca2-4f99-a260-64602f61e6f4">3 Annual</Reporting_x0020_Frequency>
    <RMM xmlns="d308fceb-9ca2-4f99-a260-64602f61e6f4">
      <Value>41</Value>
    </RMM>
    <lcf76f155ced4ddcb4097134ff3c332f xmlns="d308fceb-9ca2-4f99-a260-64602f61e6f4">
      <Terms xmlns="http://schemas.microsoft.com/office/infopath/2007/PartnerControls"/>
    </lcf76f155ced4ddcb4097134ff3c332f>
    <TaxCatchAll xmlns="f5822c99-9961-48ca-933e-5d90a4aa8158" xsi:nil="true"/>
    <Report_x0020_Type xmlns="d308fceb-9ca2-4f99-a260-64602f61e6f4">Reported Metric;</Report_x0020_Type>
    <Reported_x0020_Metric xmlns="d308fceb-9ca2-4f99-a260-64602f61e6f4">
      <Value>10d IPP Interconnection</Value>
      <Value>10e Interconnection Cost Overrun</Value>
    </Reported_x0020_Metric>
    <Metric_x0020_Name xmlns="d308fceb-9ca2-4f99-a260-64602f61e6f4">IPP Interconnection; Interconnection Cost Overrun;</Metric_x0020_Name>
    <Data_x0020_Retention_x0020_Classification xmlns="f5822c99-9961-48ca-933e-5d90a4aa8158" xsi:nil="true"/>
    <Notes0 xmlns="d308fceb-9ca2-4f99-a260-64602f61e6f4" xsi:nil="true"/>
    <Workspaces_ID xmlns="f5822c99-9961-48ca-933e-5d90a4aa8158" xsi:nil="true"/>
    <Confidential_x0020_Classification xmlns="f5822c99-9961-48ca-933e-5d90a4aa8158" xsi:nil="true"/>
    <PublishingExpirationDate xmlns="http://schemas.microsoft.com/sharepoint/v3" xsi:nil="true"/>
    <Reporting_x0020_Area xmlns="d308fceb-9ca2-4f99-a260-64602f61e6f4">10 Interconnection Experience</Reporting_x0020_Area>
  </documentManagement>
</p:properties>
</file>

<file path=customXml/itemProps1.xml><?xml version="1.0" encoding="utf-8"?>
<ds:datastoreItem xmlns:ds="http://schemas.openxmlformats.org/officeDocument/2006/customXml" ds:itemID="{6918681F-4C5A-4A16-8226-FD19FFCF5864}"/>
</file>

<file path=customXml/itemProps2.xml><?xml version="1.0" encoding="utf-8"?>
<ds:datastoreItem xmlns:ds="http://schemas.openxmlformats.org/officeDocument/2006/customXml" ds:itemID="{93DF0E29-F01E-4F66-B1CB-82CE49423D75}"/>
</file>

<file path=customXml/itemProps3.xml><?xml version="1.0" encoding="utf-8"?>
<ds:datastoreItem xmlns:ds="http://schemas.openxmlformats.org/officeDocument/2006/customXml" ds:itemID="{87948F80-95AB-4546-B53A-A082AD0FAC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#10d Summary Tables</vt:lpstr>
      <vt:lpstr>#10d Interconnection Costs</vt:lpstr>
      <vt:lpstr>#10d Interconnection Time</vt:lpstr>
      <vt:lpstr>#10e Interconnection Cost Overr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2023-02-09T18:52:04Z</dcterms:created>
  <dcterms:modified xsi:type="dcterms:W3CDTF">2023-02-09T18:52:22Z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0x010100470EFC7D649105419D514C7461879083</vt:lpwstr>
  </property>
  <property fmtid="{D5CDD505-2E9C-101B-9397-08002B2CF9AE}" pid="4" name="Secondary Reporting Fewuency">
    <vt:lpwstr>Annual+</vt:lpwstr>
  </property>
  <property fmtid="{D5CDD505-2E9C-101B-9397-08002B2CF9AE}" pid="5" name="_dlc_DocIdItemGuid">
    <vt:lpwstr>5b113cd2-4046-4af7-ba46-20eea2a349b8</vt:lpwstr>
  </property>
  <property fmtid="{D5CDD505-2E9C-101B-9397-08002B2CF9AE}" pid="6" name="URL">
    <vt:lpwstr/>
  </property>
</Properties>
</file>